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comments/comment1.xml" ContentType="application/vnd.openxmlformats-officedocument.spreadsheetml.comments+xml"/>
  <Override PartName="/xl/worksheets/sheet3.xml" ContentType="application/vnd.openxmlformats-officedocument.spreadsheetml.worksheet+xml"/>
  <Override PartName="/xl/comments/comment2.xml" ContentType="application/vnd.openxmlformats-officedocument.spreadsheetml.comments+xml"/>
  <Override PartName="/xl/worksheets/sheet4.xml" ContentType="application/vnd.openxmlformats-officedocument.spreadsheetml.worksheet+xml"/>
  <Override PartName="/xl/comments/comment3.xml" ContentType="application/vnd.openxmlformats-officedocument.spreadsheetml.comments+xml"/>
  <Override PartName="/xl/worksheets/sheet5.xml" ContentType="application/vnd.openxmlformats-officedocument.spreadsheetml.worksheet+xml"/>
  <Override PartName="/xl/comments/comment4.xml" ContentType="application/vnd.openxmlformats-officedocument.spreadsheetml.comments+xml"/>
  <Override PartName="/xl/worksheets/sheet6.xml" ContentType="application/vnd.openxmlformats-officedocument.spreadsheetml.worksheet+xml"/>
  <Override PartName="/xl/comments/comment5.xml" ContentType="application/vnd.openxmlformats-officedocument.spreadsheetml.comments+xml"/>
  <Override PartName="/xl/worksheets/sheet7.xml" ContentType="application/vnd.openxmlformats-officedocument.spreadsheetml.worksheet+xml"/>
  <Override PartName="/xl/comments/comment6.xml" ContentType="application/vnd.openxmlformats-officedocument.spreadsheetml.comments+xml"/>
  <Override PartName="/xl/worksheets/sheet8.xml" ContentType="application/vnd.openxmlformats-officedocument.spreadsheetml.worksheet+xml"/>
  <Override PartName="/xl/comments/comment7.xml" ContentType="application/vnd.openxmlformats-officedocument.spreadsheetml.comments+xml"/>
  <Override PartName="/xl/worksheets/sheet9.xml" ContentType="application/vnd.openxmlformats-officedocument.spreadsheetml.worksheet+xml"/>
  <Override PartName="/xl/comments/comment8.xml" ContentType="application/vnd.openxmlformats-officedocument.spreadsheetml.comments+xml"/>
  <Override PartName="/xl/worksheets/sheet10.xml" ContentType="application/vnd.openxmlformats-officedocument.spreadsheetml.worksheet+xml"/>
  <Override PartName="/xl/comments/comment9.xml" ContentType="application/vnd.openxmlformats-officedocument.spreadsheetml.comments+xml"/>
  <Override PartName="/xl/worksheets/sheet11.xml" ContentType="application/vnd.openxmlformats-officedocument.spreadsheetml.worksheet+xml"/>
  <Override PartName="/xl/comments/comment10.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Assumptions" sheetId="2" state="visible" r:id="rId2"/>
    <sheet name="Rent Roll" sheetId="3" state="visible" r:id="rId3"/>
    <sheet name="Sources &amp; Uses" sheetId="4" state="visible" r:id="rId4"/>
    <sheet name="T-12" sheetId="5" state="visible" r:id="rId5"/>
    <sheet name="DCF" sheetId="6" state="visible" r:id="rId6"/>
    <sheet name="Debt" sheetId="7" state="visible" r:id="rId7"/>
    <sheet name="Returns" sheetId="8" state="visible" r:id="rId8"/>
    <sheet name="Waterfall" sheetId="9" state="visible" r:id="rId9"/>
    <sheet name="Wholesale" sheetId="10" state="visible" r:id="rId10"/>
    <sheet name="Sensitivity" sheetId="11" state="visible" r:id="rId11"/>
  </sheets>
  <definedNames/>
  <calcPr calcId="124519" fullCalcOnLoad="1"/>
</workbook>
</file>

<file path=xl/styles.xml><?xml version="1.0" encoding="utf-8"?>
<styleSheet xmlns="http://schemas.openxmlformats.org/spreadsheetml/2006/main">
  <numFmts count="6">
    <numFmt numFmtId="164" formatCode="#,##0;[Red](#,##0)"/>
    <numFmt numFmtId="165" formatCode="0.00&quot;x&quot;;[Red](0.00&quot;x&quot;)"/>
    <numFmt numFmtId="166" formatCode="#,##0.00;[Red](#,##0.00)"/>
    <numFmt numFmtId="167" formatCode="0.0%;[Red](0.0%)"/>
    <numFmt numFmtId="168" formatCode="0.00%;[Red](0.00%)"/>
    <numFmt numFmtId="169" formatCode="0.0000;[Red](0.0000)"/>
  </numFmts>
  <fonts count="11">
    <font>
      <name val="Calibri"/>
      <family val="2"/>
      <color theme="1"/>
      <sz val="11"/>
      <scheme val="minor"/>
    </font>
    <font>
      <b val="1"/>
      <color rgb="001F3864"/>
      <sz val="14"/>
    </font>
    <font>
      <i val="1"/>
      <color rgb="00404040"/>
      <sz val="10"/>
    </font>
    <font>
      <i val="1"/>
      <color rgb="00808080"/>
      <sz val="9"/>
    </font>
    <font>
      <b val="1"/>
      <color rgb="001F3864"/>
      <sz val="11"/>
    </font>
    <font>
      <b val="1"/>
      <color rgb="00808080"/>
      <sz val="9"/>
    </font>
    <font>
      <color rgb="000000CC"/>
    </font>
    <font>
      <b val="1"/>
    </font>
    <font>
      <b val="1"/>
      <color rgb="00000000"/>
    </font>
    <font>
      <color rgb="00000000"/>
    </font>
    <font>
      <b val="1"/>
      <color rgb="00FFFFFF"/>
      <sz val="10"/>
    </font>
  </fonts>
  <fills count="4">
    <fill>
      <patternFill/>
    </fill>
    <fill>
      <patternFill patternType="gray125"/>
    </fill>
    <fill>
      <patternFill patternType="solid">
        <fgColor rgb="00DCE3F0"/>
      </patternFill>
    </fill>
    <fill>
      <patternFill patternType="solid">
        <fgColor rgb="001F3864"/>
      </patternFill>
    </fill>
  </fills>
  <borders count="3">
    <border>
      <left/>
      <right/>
      <top/>
      <bottom/>
      <diagonal/>
    </border>
    <border>
      <top style="thin">
        <color rgb="00404040"/>
      </top>
    </border>
    <border>
      <left style="thin">
        <color rgb="00BFBFBF"/>
      </left>
      <right style="thin">
        <color rgb="00BFBFBF"/>
      </right>
      <top style="thin">
        <color rgb="00BFBFBF"/>
      </top>
      <bottom style="thin">
        <color rgb="00BFBFBF"/>
      </bottom>
    </border>
  </borders>
  <cellStyleXfs count="1">
    <xf numFmtId="0" fontId="0" fillId="0" borderId="0"/>
  </cellStyleXfs>
  <cellXfs count="32">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2" borderId="1" pivotButton="0" quotePrefix="0" xfId="0"/>
    <xf numFmtId="0" fontId="0" fillId="2" borderId="1" pivotButton="0" quotePrefix="0" xfId="0"/>
    <xf numFmtId="164" fontId="9" fillId="0" borderId="0" pivotButton="0" quotePrefix="0" xfId="0"/>
    <xf numFmtId="0" fontId="7" fillId="0" borderId="0" pivotButton="0" quotePrefix="0" xfId="0"/>
    <xf numFmtId="164" fontId="8" fillId="0" borderId="0" pivotButton="0" quotePrefix="0" xfId="0"/>
    <xf numFmtId="167" fontId="9" fillId="0" borderId="0" pivotButton="0" quotePrefix="0" xfId="0"/>
    <xf numFmtId="168" fontId="8" fillId="0" borderId="0" pivotButton="0" quotePrefix="0" xfId="0"/>
    <xf numFmtId="168" fontId="9" fillId="0" borderId="0" pivotButton="0" quotePrefix="0" xfId="0"/>
    <xf numFmtId="165" fontId="8" fillId="0" borderId="0" pivotButton="0" quotePrefix="0" xfId="0"/>
    <xf numFmtId="0" fontId="5" fillId="0" borderId="0" pivotButton="0" quotePrefix="0" xfId="0"/>
    <xf numFmtId="164" fontId="6" fillId="0" borderId="0" pivotButton="0" quotePrefix="0" xfId="0"/>
    <xf numFmtId="165" fontId="6" fillId="0" borderId="0" pivotButton="0" quotePrefix="0" xfId="0"/>
    <xf numFmtId="166" fontId="6" fillId="0" borderId="0" pivotButton="0" quotePrefix="0" xfId="0"/>
    <xf numFmtId="0" fontId="7" fillId="0" borderId="1" pivotButton="0" quotePrefix="0" xfId="0"/>
    <xf numFmtId="164" fontId="8" fillId="0" borderId="1" pivotButton="0" quotePrefix="0" xfId="0"/>
    <xf numFmtId="167" fontId="6" fillId="0" borderId="0" pivotButton="0" quotePrefix="0" xfId="0"/>
    <xf numFmtId="168" fontId="6" fillId="0" borderId="0" pivotButton="0" quotePrefix="0" xfId="0"/>
    <xf numFmtId="0" fontId="10" fillId="3" borderId="2" applyAlignment="1" pivotButton="0" quotePrefix="0" xfId="0">
      <alignment horizontal="center" vertical="center" wrapText="1"/>
    </xf>
    <xf numFmtId="0" fontId="6" fillId="0" borderId="0" pivotButton="0" quotePrefix="0" xfId="0"/>
    <xf numFmtId="0" fontId="9" fillId="0" borderId="0" pivotButton="0" quotePrefix="0" xfId="0"/>
    <xf numFmtId="166" fontId="9" fillId="0" borderId="0" pivotButton="0" quotePrefix="0" xfId="0"/>
    <xf numFmtId="165" fontId="9" fillId="0" borderId="0" pivotButton="0" quotePrefix="0" xfId="0"/>
    <xf numFmtId="0" fontId="3" fillId="2" borderId="1" pivotButton="0" quotePrefix="0" xfId="0"/>
    <xf numFmtId="169" fontId="9" fillId="0" borderId="0" pivotButton="0" quotePrefix="0" xfId="0"/>
    <xf numFmtId="0" fontId="0" fillId="0" borderId="1" pivotButton="0" quotePrefix="0" xfId="0"/>
    <xf numFmtId="0" fontId="9" fillId="0" borderId="1" pivotButton="0" quotePrefix="0" xfId="0"/>
    <xf numFmtId="0" fontId="4" fillId="0" borderId="0" pivotButton="0" quotePrefix="0" xfId="0"/>
    <xf numFmtId="168" fontId="8" fillId="0"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styles" Target="styles.xml" Id="rId12" /><Relationship Type="http://schemas.openxmlformats.org/officeDocument/2006/relationships/theme" Target="theme/theme1.xml" Id="rId13" /></Relationships>
</file>

<file path=xl/comments/comment1.xml><?xml version="1.0" encoding="utf-8"?>
<comments xmlns="http://schemas.openxmlformats.org/spreadsheetml/2006/main">
  <authors>
    <author>FPP underwriting model</author>
  </authors>
  <commentList>
    <comment ref="B6" authorId="0" shapeId="0">
      <text>
        <t>AS-IS market value. ESTIMATE.
Source: FPP comps engine — median $/sqft of arm's-length recorded warranty-deed sales applied to subject square footage. Institutional and nominal transfers excluded.
This values the property in its CURRENT condition. No interior inspection informs it.</t>
      </text>
    </comment>
    <comment ref="B7" authorId="0" shapeId="0">
      <text>
        <t>Renovation budget. ESTIMATE.
Source: FPP repair estimator — tiered $/sqft x sqft x state cost factor + contingency.
A TRIAGE budget, not a scope of work. Whenever no interior inspection exists this is the single largest uncertainty in the model. Replace with a contractor bid before committing capital.</t>
      </text>
    </comment>
    <comment ref="B8" authorId="0" shapeId="0">
      <text>
        <t>Uplift multiple. ESTIMATE, set by the repair TIER rather than typed: light 1.85x, medium 1.55x, heavy 1.28x.
Lighter scopes return more per dollar because they are cosmetic; a heavy scope spends much of the budget on systems a buyer never sees.
This cell used to carry a literal 1.55 regardless of tier, so light and heavy scopes produced a workbook that disagreed with the engine.</t>
      </text>
    </comment>
    <comment ref="B9" authorId="0" shapeId="0">
      <text>
        <t>Neighbourhood ceiling. ESTIMATE.
The comp set's UPPER QUARTILE (Q3) $/sqft — Q3 rather than the maximum so a single outlier cannot lift it. Where no Q3 exists it is approximated at 1.25x the median.
You cannot renovate above the best house on the street; a binding ceiling is the most common way a rehab loses money.
This is now a genuine input. It used to be reverse-derived as ARV/sqft, which is circular: on a deal where the ceiling did not bind, that 'ceiling' equalled ARV exactly and wrongly pinned it.</t>
      </text>
    </comment>
    <comment ref="B10" authorId="0" shapeId="0">
      <text>
        <t>Gross living area. MEASURED where the vendor record supplies it. Drives both the repair estimate and the ceiling, so an error here moves the model twice.</t>
      </text>
    </comment>
    <comment ref="B11" authorId="0" shapeId="0">
      <text>
        <t>Sanity cap. Doubling a property's value through renovation almost always means bad square footage or a bad comp set rather than a real opportunity.</t>
      </text>
    </comment>
    <comment ref="B12" authorId="0" shapeId="0">
      <text>
        <t>ARV = MIN of three quantities:
  1. AS-IS + (repair x uplift multiple)
  2. the neighbourhood ceiling (Q3 $/sqft x sqft)
  3. the sanity cap (AS-IS x max ratio)
Never AS-IS minus repairs — renovation ADDS value, and the repair budget is spend, not a deduction from value.
The zero-guards mean a blank ceiling or blank ratio cap cannot silently zero the entire model.</t>
      </text>
    </comment>
    <comment ref="B15" authorId="0" shapeId="0">
      <text>
        <t>Maximum-allowable-offer margin for the Rental / turnkey buyer.
The margin belongs to the buyer, not the property: a turnkey rental buyer accepts a thinner margin than a gut-flipper because there is no resale commission, no retail finish and no carry to sale.
Change the buyer tier and this changes with it.</t>
      </text>
    </comment>
    <comment ref="B16" authorId="0" shapeId="0">
      <text>
        <t>The wholesale fee. Subtracted from MAO to give what can actually be offered to a seller while still earning it.</t>
      </text>
    </comment>
    <comment ref="B17" authorId="0" shapeId="0">
      <text>
        <t>ASSUMED EQUAL TO MAO — no contract price exists yet.
Every levered figure in this model (loan, DSCR, cash-on-cash, IRR, waterfall) is therefore modelled at the MAXIMUM you would pay rather than at a negotiated price. Overwrite this cell the moment a real price exists.
It used to default to 0, which zeroed the entire financing block.</t>
      </text>
    </comment>
    <comment ref="B18" authorId="0" shapeId="0">
      <text>
        <t>Title, recording, settlement, as a % of price. ESTIMATE — a convention rather than a quote.</t>
      </text>
    </comment>
    <comment ref="B19" authorId="0" shapeId="0">
      <text>
        <t>Agent commission plus seller-paid closing, as a % of the sale price. Applied to the EXIT value in the DCF and to ARV in the wholesale spread.</t>
      </text>
    </comment>
    <comment ref="B20" authorId="0" shapeId="0">
      <text>
        <t>Monthly carry — taxes, insurance, utilities, securing — as a % of ARV, used only in the wholesale spread.
FLAGGED: expressing carry as a % of ARV is a wholesaling shorthand, NOT an institutional convention. A lender or PE model carries these as itemised dollar lines. It is kept on the ARV basis here only so this figure reconciles to the FPP engine, which defines the spread that way. Treat it as a convention to confirm, not as a standard.</t>
      </text>
    </comment>
    <comment ref="B21" authorId="0" shapeId="0">
      <text>
        <t>Expected months from contract to assignment or resale. Wholesale layer only — the rental hold is in years, below.</t>
      </text>
    </comment>
    <comment ref="B24" authorId="0" shapeId="0">
      <text>
        <t>Monthly GROSS POTENTIAL RENT — market rent for every unit, occupied or not — pulled from the rent-roll total so there is exactly one place a rent is entered.
Source: RentCast long-term rent AVM (VENDOR) where no lease exists. A vendor model output, not a signed lease.</t>
      </text>
    </comment>
    <comment ref="B25" authorId="0" shapeId="0">
      <text>
        <t>LOSS TO LEASE: the gap between market rent and what in-place leases actually charge.
0.0% here because the property is VACANT — there is no lease to be below market. It is a live driver rather than an omission: the rent roll computes loss to lease per unit, and that figure previously flowed nowhere at all, so a below-market lease would never have reduced income.</t>
      </text>
    </comment>
    <comment ref="B26" authorId="0" shapeId="0">
      <text>
        <t>Ancillary income. Zero for a single-family rental unless there is a specific documented source.
NOTE: this sits INSIDE potential gross income, so vacancy, credit loss and concessions all apply to it. Previously vacancy was taken on rent alone and other income was added afterwards, so other income escaped the vacancy deduction entirely.</t>
      </text>
    </comment>
    <comment ref="B27" authorId="0" shapeId="0">
      <text>
        <t>PHYSICAL VACANCY as a % of potential gross income. ESTIMATE — a market convention, not this property's history, which does not exist: it is vacant.
Vacancy, credit loss and concessions are three SEPARATE drivers sharing one base. They used to be a single cell labelled 'Vacancy &amp; credit loss' doing two jobs at once.</t>
      </text>
    </comment>
    <comment ref="B28" authorId="0" shapeId="0">
      <text>
        <t>CREDIT LOSS / BAD DEBT — rent billed but never collected. Distinct from physical vacancy: a unit can be occupied and still not pay.
Set to 0.0% because there is no rent roll history to measure it from. Institutional convention for a stabilised asset is roughly 0.5-1.0% of PGI. Turn it on here and it flows through EGI, NOI, DSCR, both IRRs and the waterfall.</t>
      </text>
    </comment>
    <comment ref="B29" authorId="0" shapeId="0">
      <text>
        <t>CONCESSIONS — free rent or move-in incentives given to win a lease.
Set to 0.0%: none are contemplated and none can be evidenced. Typical range where used is 0.5-2.0% of PGI. A separate driver because a concession is a leasing decision, not a collection failure or a vacancy.</t>
      </text>
    </comment>
    <comment ref="B32" authorId="0" shapeId="0">
      <text>
        <t>OPERATING expenses as a % of effective gross income.
ESTIMATE, and a ratio rather than a bill. No tax bill, insurance quote, HOA statement, utility history or maintenance record has been obtained for this property. Replace with itemised quotes before relying on NOI.
Excludes capital expenditure and the asset management fee, both of which sit below the NOI line.</t>
      </text>
    </comment>
    <comment ref="B33" authorId="0" shapeId="0">
      <text>
        <t>MEMO LINE ONLY, shown because a reader will ask whether management is included. PROPERTY management is, inside the operating-expense ratio above, and is NOT deducted a second time.
Distinct from the ASSET management fee below, which is a sponsor-level fee and sits under NOI.</t>
      </text>
    </comment>
    <comment ref="B34" authorId="0" shapeId="0">
      <text>
        <t>The dollar cost of property management implied by the memo percentage above, on year-1 EGI.
It exists so the memo driver is LIVE rather than decorative: an input that no formula reads is a trap, because a reader assumes changing it does something. This cell is a memo and is NOT deducted anywhere — property management is already inside the operating-expense ratio.</t>
      </text>
    </comment>
    <comment ref="B35" authorId="0" shapeId="0">
      <text>
        <t>Replacement reserve as a % of EGI.
CONVENTION: this is CAPITAL spend, so it is deducted BELOW the NOI line, not inside it. NOI, the cap rate and DSCR are all quoted before reserves — that is what a lender or broker means by those terms.</t>
      </text>
    </comment>
    <comment ref="B38" authorId="0" shapeId="0">
      <text>
        <t>ACQUISITION FEE paid to the sponsor at close, as a % of purchase price.
Defaults to 0.0% — an FPP wholesale assignment pays no sponsor fee. Standard market is roughly 1.0%.
It is a USE of funds on the Sources &amp; Uses tab, so switching it on raises the equity requirement rather than quietly disappearing.</t>
      </text>
    </comment>
    <comment ref="B39" authorId="0" shapeId="0">
      <text>
        <t>DISPOSITION FEE paid to the sponsor on sale, as a % of the gross sale price. Defaults to 0.0%; standard market is roughly 1.0%.
It is added to selling costs at exit, so it reduces net proceeds and therefore both IRRs and the waterfall.
NOTE: it applies to the DCF exit only. The wholesale spread deliberately does not carry it — an assignment has no sponsor disposition.</t>
      </text>
    </comment>
    <comment ref="B40" authorId="0" shapeId="0">
      <text>
        <t>ASSET MANAGEMENT FEE to the sponsor, as a % of EGI. Defaults to 0.0%; standard market is 1.0-2.0% of EGI (some sponsors charge on invested capital instead — FLAGGED as a convention to confirm rather than assume).
Placed BELOW NOI deliberately: it is a partnership-level fee, and putting it inside NOI would make the cap rate non-comparable to market cap rates. Property management is separate and sits in operating expenses.</t>
      </text>
    </comment>
    <comment ref="B42" authorId="0" shapeId="0">
      <text>
        <t>Leverage, applied to the PURCHASE PRICE — loan-to-cost at acquisition — not to ARV. Sizing debt against ARV at acquisition is not a thing that happens.</t>
      </text>
    </comment>
    <comment ref="B43" authorId="0" shapeId="0">
      <text>
        <t>Annual nominal rate. ESTIMATE — a market assumption, not a term sheet. The debt schedule amortises monthly at rate/12.</t>
      </text>
    </comment>
    <comment ref="B44" authorId="0" shapeId="0">
      <text>
        <t>Amortisation term. Longer than the hold, so the loan does NOT fully amortise: the outstanding balance is repaid out of sale proceeds at exit.</t>
      </text>
    </comment>
    <comment ref="B47" authorId="0" shapeId="0">
      <text>
        <t>REPORTED, not set. The DCF, debt schedule, returns and waterfall are BUILT to a fixed number of year columns when this file is generated, so this cell counts them rather than driving them.
It used to be a blue editable input that nothing referenced — which is worse than useless, because a reader would reasonably expect typing a different number to re-length the model. To change the hold, regenerate the model.</t>
      </text>
    </comment>
    <comment ref="B48" authorId="0" shapeId="0">
      <text>
        <t>Required rate of return, used as the discount rate for NPV. ESTIMATE — an investor hurdle, not a market observable. Positive NPV at this rate means the deal clears the hurdle.</t>
      </text>
    </comment>
    <comment ref="B49" authorId="0" shapeId="0">
      <text>
        <t>Annual growth in gross potential rent and other income. ESTIMATE. Compounds through the DCF AND drives the forward NOI that sets the exit value, so it moves the terminal value as well as the income lines.</t>
      </text>
    </comment>
    <comment ref="B50" authorId="0" shapeId="0">
      <text>
        <t>Annual growth in operating expenses, the reserve and the asset management fee. ESTIMATE.
Where expense growth exceeds rent growth the NOI margin compresses every year — worth testing, since it is a common way a hold quietly fails.</t>
      </text>
    </comment>
    <comment ref="B51" authorId="0" shapeId="0">
      <text>
        <t>Exit cap rate. ESTIMATE, and typically the single most sensitive assumption in the model.
CONVENTION: exit value = FORWARD (year N+1) NOI / exit cap, never trailing NOI — a buyer at exit prices the year ahead of them.</t>
      </text>
    </comment>
    <comment ref="B54" authorId="0" shapeId="0">
      <text>
        <t>WORKING CAPITAL / OPERATING RESERVE — cash funded at close to carry the asset through lease-up and any early negative cash flow.
Defaults to $0. It is a genuine USE of funds, so funding it raises the equity requirement.
Worth noting on THIS deal: levered cash flow is negative in years 1-3, so a real institutional structure would size a reserve here rather than rely on capital calls.</t>
      </text>
    </comment>
    <comment ref="B55" authorId="0" shapeId="0">
      <text>
        <t>PREFERRED EQUITY as a source of funds, ranking between senior debt and common equity. Defaults to $0.
Common equity is the PLUG on the Sources &amp; Uses tab, so adding pref reduces the common cheque rather than changing total capitalisation.</t>
      </text>
    </comment>
    <comment ref="B58" authorId="0" shapeId="0">
      <text>
        <t>Limited-partner share of contributed equity; the GP funds the remainder as co-invest.
APPLIES TO INSTITUTIONAL / MULTI-INVESTOR DEALS ONLY. A solo wholesale assignment has one capital source and no waterfall — see the note on the Waterfall tab.</t>
      </text>
    </comment>
    <comment ref="B59" authorId="0" shapeId="0">
      <text>
        <t>LP preferred return. Accrues on unreturned capital and is paid after return of capital, before any promote.
Modelled as a SIMPLE (non-compounding) annual accrual on unreturned LP capital, the common convention. Some structures compound it — that is a term to confirm against an actual LPA rather than assume.</t>
      </text>
    </comment>
    <comment ref="B60" authorId="0" shapeId="0">
      <text>
        <t>GP promote (carried interest) above the preferred return. A 20% promote over an 8% pref is the conventional market structure.
The catch-up tier brings the GP to this share of total profit distributions before the residual split begins.</t>
      </text>
    </comment>
    <comment ref="B64" authorId="0" shapeId="0">
      <text>
        <t>LOSS TO LEASE in DOLLARS, summed off the rent roll: market rent less in-place rent across OCCUPIED units.
When non-zero this REPLACES the percentage driver above — a real rent roll beats a convention. It was silently zero on the first multifamily run because the engine took dollars while the workbook took a percentage, and EGI was overstated by the whole below-market gap.</t>
      </text>
    </comment>
    <comment ref="B65" authorId="0" shapeId="0">
      <text>
        <t>Units deliberately not rented — model unit, leasing office, employee-occupied. Their market rent IS in gross potential rent, and this line takes it back out.
A separate line from loss to lease on purpose: a below-market lease and a unit held off the market are different things, and a lender asks for them separately.</t>
      </text>
    </comment>
    <comment ref="B66" authorId="0" shapeId="0">
      <text>
        <t>TOTAL operating expenses in dollars, from the itemised lines on the Operating Statement.
When non-zero this REPLACES the percentage-of-EGI driver. A percentage is a placeholder for a T-12 you do not have; on a real multifamily deal you have one.</t>
      </text>
    </comment>
    <comment ref="B67" authorId="0" shapeId="0">
      <text>
        <t>Reserves at $/unit/year rather than % of EGI — the multifamily convention and what a lender underwrites. Roughly $250-$300 on stabilised garden-style product; agency programmes often require more. A convention, not a rule.</t>
      </text>
    </comment>
    <comment ref="B68" authorId="0" shapeId="0">
      <text>
        <t>Total units. Drives the reserve calculation and every per-unit metric.</t>
      </text>
    </comment>
    <comment ref="B69" authorId="0" shapeId="0">
      <text>
        <t>A dollar line, not a ratio. When this is populated the operating-expense line below uses the NARROWER ex-tax ratio, because the usual 40%-of-EGI convention already includes property taxes and applying both counts them twice.</t>
      </text>
    </comment>
  </commentList>
</comments>
</file>

<file path=xl/comments/comment10.xml><?xml version="1.0" encoding="utf-8"?>
<comments xmlns="http://schemas.openxmlformats.org/spreadsheetml/2006/main">
  <authors>
    <author>FPP underwriting model</author>
  </authors>
  <commentList>
    <comment ref="B21" authorId="0" shapeId="0">
      <text>
        <t>Levered IRR recomputed at this exit cap.
The exit value is rebuilt as FORWARD (N+1) NOI / this cap, then selling costs and the outstanding loan payoff are reapplied. The cash-flow block above is the actual series this IRR runs over, so it can be audited line by line.
The column matching the exit cap on the Assumptions tab reproduces the headline levered IRR exactly.
Exit cap is normally the single most sensitive assumption in a hold.</t>
      </text>
    </comment>
    <comment ref="B41" authorId="0" shapeId="0">
      <text>
        <t>Levered IRR with rent growth reset to this rate for the purpose of the EXIT value.
SIMPLIFICATION, stated plainly: only the forward NOI that prices the exit is regrown here. The interim operating cash flows still carry the rent growth from the Assumptions tab, because re-deriving a full multi-year projection inside a single cell is not something a formula should do.
To sensitise operations as well, change the rent-growth cell on Assumptions directly and read the headline IRR.</t>
      </text>
    </comment>
  </commentList>
</comments>
</file>

<file path=xl/comments/comment2.xml><?xml version="1.0" encoding="utf-8"?>
<comments xmlns="http://schemas.openxmlformats.org/spreadsheetml/2006/main">
  <authors>
    <author>FPP underwriting model</author>
  </authors>
  <commentList>
    <comment ref="C5" authorId="0" shapeId="0">
      <text>
        <t>DERIVED from in-place rent: a unit with rent in place is occupied, one without is vacant.
Deliberately not a separate flag. The occupancy flag on the underlying record defaults to True, so a unit with $0 in-place rent displayed as 'Occupied' — a status contradicting the rent immediately beside it.
Edge case worth knowing: a unit occupied at genuinely $0 rent would read Vacant here. Enter a nominal in-place rent if that ever arises.</t>
      </text>
    </comment>
    <comment ref="G6" authorId="0" shapeId="0">
      <text>
        <t>Monthly GROSS POTENTIAL RENT at MARKET for every unit, occupied or not. The ONLY place rent enters the model — the Assumptions tab pulls from this cell.
Source: RentCast long-term rent AVM (VENDOR) where no lease exists. A vendor model output, not a signed lease.</t>
      </text>
    </comment>
    <comment ref="I6" authorId="0" shapeId="0">
      <text>
        <t>LOSS TO LEASE across OCCUPIED units only.
A vacant unit cannot be below market — it has no lease. Counting its full market rent here as well as taking vacancy on the income statement would describe the same missing dollar twice. This cell used to do exactly that and reported the entire $2,180 as loss to lease on a vacant house, against the DCF's $0.</t>
      </text>
    </comment>
    <comment ref="B8" authorId="0" shapeId="0">
      <text>
        <t>Monthly GPR x 12. Feeds the T-12 and the DCF.</t>
      </text>
    </comment>
    <comment ref="B9" authorId="0" shapeId="0">
      <text>
        <t>The loss to lease this rent roll actually implies, as a % of gross potential rent.
It exists so a reader can check it against the loss-to-lease DRIVER on Assumptions. The driver is what the income statement uses; if the two disagree, the driver is stale. On a fully vacant property both are 0%.</t>
      </text>
    </comment>
  </commentList>
</comments>
</file>

<file path=xl/comments/comment3.xml><?xml version="1.0" encoding="utf-8"?>
<comments xmlns="http://schemas.openxmlformats.org/spreadsheetml/2006/main">
  <authors>
    <author>FPP underwriting model</author>
  </authors>
  <commentList>
    <comment ref="B6" authorId="0" shapeId="0">
      <text>
        <t>From Assumptions. Assumed equal to MAO while no contract price exists.</t>
      </text>
    </comment>
    <comment ref="B7" authorId="0" shapeId="0">
      <text>
        <t>Title, recording, settlement. ESTIMATE — a convention rather than a quote.</t>
      </text>
    </comment>
    <comment ref="B8" authorId="0" shapeId="0">
      <text>
        <t>The renovation budget, funded at close in this structure rather than drawn over time. FLAGGED: a real construction facility would fund CapEx on a draw schedule, which improves the IRR by deferring the outflow. Modelled as a day-one use here, which is the conservative treatment.</t>
      </text>
    </comment>
    <comment ref="B9" authorId="0" shapeId="0">
      <text>
        <t>Sponsor acquisition fee. Zero on a wholesale assignment.</t>
      </text>
    </comment>
    <comment ref="B10" authorId="0" shapeId="0">
      <text>
        <t>Reserve to carry early negative cash flow. Zero by default — but note levered cash flow is negative in years 1-3 on this deal, so a real institutional structure would size one here.</t>
      </text>
    </comment>
    <comment ref="B11" authorId="0" shapeId="0">
      <text>
        <t>TOTAL PROJECT COST. This is the total cost basis used for yield-on-cost and as the year-0 outflow of the UNLEVERED return. One definition, referenced everywhere.</t>
      </text>
    </comment>
    <comment ref="B14" authorId="0" shapeId="0">
      <text>
        <t>Sized on the PURCHASE PRICE (loan-to-cost at acquisition), not on ARV. The Debt tab reads this cell, so the loan is defined once.</t>
      </text>
    </comment>
    <comment ref="B15" authorId="0" shapeId="0">
      <text>
        <t>Ranks between senior debt and common equity.</t>
      </text>
    </comment>
    <comment ref="B16" authorId="0" shapeId="0">
      <text>
        <t>THE PLUG. Whatever total uses are not funded by debt or pref must be funded by common equity.
This is what makes the tab self-proving: switch on an acquisition fee or a reserve and the common cheque rises by exactly that amount, so nothing can be added to the deal for free.</t>
      </text>
    </comment>
    <comment ref="B19" authorId="0" shapeId="0">
      <text>
        <t>INTEGRITY CHECK. Must be exactly zero. Because common equity is the plug this is arithmetically guaranteed — the cell exists so a reader can SEE that it is, rather than taking it on trust.</t>
      </text>
    </comment>
    <comment ref="B20" authorId="0" shapeId="0">
      <text>
        <t>Leverage on TOTAL COST, which is lower than the loan-to-value headline because the renovation budget and closing costs are in the denominator.</t>
      </text>
    </comment>
  </commentList>
</comments>
</file>

<file path=xl/comments/comment4.xml><?xml version="1.0" encoding="utf-8"?>
<comments xmlns="http://schemas.openxmlformats.org/spreadsheetml/2006/main">
  <authors>
    <author>FPP underwriting model</author>
  </authors>
  <commentList>
    <comment ref="B10" authorId="0" shapeId="0">
      <text>
        <t>POTENTIAL GROSS INCOME = gross scheduled rent plus other income.
This is the base for vacancy, credit loss AND concessions, so all three share one denominator.
Previously vacancy was taken on rent alone and other income was added AFTERWARDS, so other income escaped the vacancy deduction entirely — no effect while other income is $0, silently wrong the moment it is not.</t>
      </text>
    </comment>
    <comment ref="B16" authorId="0" shapeId="0">
      <text>
        <t>NOI = EFFECTIVE GROSS INCOME less OPERATING expenses.
The replacement reserve and the asset management fee are deducted BELOW this line: one is capital, the other is a partnership fee. Cap rate and DSCR are both quoted on this NOI, which is the standard definition and what a lender or broker means.</t>
      </text>
    </comment>
    <comment ref="B20" authorId="0" shapeId="0">
      <text>
        <t>One twelfth of annual debt service from the amortisation schedule. A level-payment mortgage carries the same figure every month.</t>
      </text>
    </comment>
  </commentList>
</comments>
</file>

<file path=xl/comments/comment5.xml><?xml version="1.0" encoding="utf-8"?>
<comments xmlns="http://schemas.openxmlformats.org/spreadsheetml/2006/main">
  <authors>
    <author>FPP underwriting model</author>
  </authors>
  <commentList>
    <comment ref="M17" authorId="0" shapeId="0">
      <text>
        <t>FORWARD (year N+1) NOI. Exists solely to price the exit: exit value = this NOI / exit cap.
Standard convention — a buyer at exit underwrites the year AHEAD of them.
This column is NOT a cash flow to the investor and does not enter the IRR series.</t>
      </text>
    </comment>
    <comment ref="L26" authorId="0" shapeId="0">
      <text>
        <t>Gross sale price at exit = FORWARD (year N+1) NOI / exit cap. The standard terminal-value convention.</t>
      </text>
    </comment>
    <comment ref="L27" authorId="0" shapeId="0">
      <text>
        <t>Agent commission and seller-paid closing, PLUS the sponsor disposition fee, both as a % of the gross sale price.
The disposition fee is deliberately absent from the wholesale spread on the Wholesale tab — an assignment has no sponsor disposition.</t>
      </text>
    </comment>
    <comment ref="L28" authorId="0" shapeId="0">
      <text>
        <t>OUTSTANDING loan balance at exit, from the amortisation schedule — NOT the original loan amount. The loan does not fully amortise inside the hold, but it does pay down.</t>
      </text>
    </comment>
    <comment ref="L29" authorId="0" shapeId="0">
      <text>
        <t>Exit proceeds BEFORE any debt repayment. Feeds the unlevered return, which by construction ignores financing.</t>
      </text>
    </comment>
    <comment ref="L30" authorId="0" shapeId="0">
      <text>
        <t>Exit proceeds to EQUITY: after selling costs, the disposition fee and repaying the outstanding loan balance.</t>
      </text>
    </comment>
    <comment ref="B33" authorId="0" shapeId="0">
      <text>
        <t>Year-0 unlevered outflow = TOTAL USES from the Sources &amp; Uses tab: price + closing + renovation + acquisition fee + working capital.
Unlevered returns are measured against total project cost, ignoring how it was funded — which is what makes them comparable across deals with different leverage.</t>
      </text>
    </comment>
    <comment ref="B34" authorId="0" shapeId="0">
      <text>
        <t>Year-0 levered outflow = TOTAL EQUITY (preferred + common) from the Sources &amp; Uses tab. Levered returns are measured against the cash the investors actually put in.</t>
      </text>
    </comment>
  </commentList>
</comments>
</file>

<file path=xl/comments/comment6.xml><?xml version="1.0" encoding="utf-8"?>
<comments xmlns="http://schemas.openxmlformats.org/spreadsheetml/2006/main">
  <authors>
    <author>FPP underwriting model</author>
  </authors>
  <commentList>
    <comment ref="B5" authorId="0" shapeId="0">
      <text>
        <t>Read from the Sources &amp; Uses tab so the loan is defined exactly once. Sized on the PURCHASE PRICE, not on ARV.</t>
      </text>
    </comment>
    <comment ref="B6" authorId="0" shapeId="0">
      <text>
        <t>Annual debt service from the standard PMT function: monthly rate, monthly periods, principal passed negative so the payment returns positive. The IF handles a 0% rate, where PMT would divide by zero.
The T-12 and DCF both reference this single cell.</t>
      </text>
    </comment>
    <comment ref="B8" authorId="0" shapeId="0">
      <text>
        <t>DEBT YIELD = Year-1 NOI / loan amount.
The lender's leverage test that does NOT depend on the interest rate or the amortisation term, which is exactly why lenders use it alongside DSCR: a low rate can flatter DSCR while debt yield stays honest.
Agency and CMBS lenders commonly want 8-10% or better. FLAGGED: the exact threshold is lender- and asset-specific, so treat the benchmark as indicative rather than a rule.</t>
      </text>
    </comment>
    <comment ref="C13" authorId="0" shapeId="0">
      <text>
        <t>Interest paid over the year = total payments less principal repaid.
Shown POSITIVE, like principal beside it: these are a breakdown of one payment, not two separate cash flows. Interest previously carried a negative sign while principal did not.</t>
      </text>
    </comment>
    <comment ref="D13" authorId="0" shapeId="0">
      <text>
        <t>Remaining balance after (year x 12) level payments, from the standard amortisation identity:
  B(n) = P(1+i)^n - PMT x ((1+i)^n - 1)/i
The year index is read from column A rather than hard-coded, so every row of this column is the same formula. MAX(0,...) so a hold longer than the amortisation term cannot show a negative balance; the IF handles a 0% rate.
The exit on the DCF tab repays THIS balance.</t>
      </text>
    </comment>
    <comment ref="F13" authorId="0" shapeId="0">
      <text>
        <t>Year-matched NOI from the DCF, via INDEX on the year in column A. INDEX rather than a direct reference because the DCF runs across COLUMNS while this schedule runs down ROWS — a direct reference made every row a structurally different formula.</t>
      </text>
    </comment>
    <comment ref="G13" authorId="0" shapeId="0">
      <text>
        <t>DSCR = NOI / annual debt service.
NOI is before the replacement reserve and before the asset management fee, per standard convention — that is the figure a lender underwrites. Most DSCR lenders require 1.20x or better; below 1.00x the property does not cover its own debt.</t>
      </text>
    </comment>
    <comment ref="B24" authorId="0" shapeId="0">
      <text>
        <t>The binding year for a lender. DSCR is usually lowest in year 1 and improves as rents grow.</t>
      </text>
    </comment>
  </commentList>
</comments>
</file>

<file path=xl/comments/comment7.xml><?xml version="1.0" encoding="utf-8"?>
<comments xmlns="http://schemas.openxmlformats.org/spreadsheetml/2006/main">
  <authors>
    <author>FPP underwriting model</author>
  </authors>
  <commentList>
    <comment ref="B5" authorId="0" shapeId="0">
      <text>
        <t>Total USES. The denominator for yield-on-cost and the year-0 outflow of the unlevered return. Defined once, on the Sources &amp; Uses tab.</t>
      </text>
    </comment>
    <comment ref="B6" authorId="0" shapeId="0">
      <text>
        <t>The denominator for levered returns and the year-0 outflow of the levered IRR.</t>
      </text>
    </comment>
    <comment ref="B10" authorId="0" shapeId="0">
      <text>
        <t>STANDARD DEFINITION: Year-1 NOI divided by the ACQUISITION PRICE. Not NOI over ARV — ARV is a post-renovation exit value, and dividing by it is not a cap rate any counterparty would recognise.</t>
      </text>
    </comment>
    <comment ref="B11" authorId="0" shapeId="0">
      <text>
        <t>Year-1 NOI over total cost INCLUDING the renovation, fees and reserves — the developer's measure: what the asset yields on everything sunk into it.</t>
      </text>
    </comment>
    <comment ref="B12" authorId="0" shapeId="0">
      <text>
        <t>The lender's leverage test that is independent of rate and amortisation term. Read alongside DSCR: a low rate can flatter DSCR while debt yield stays honest.</t>
      </text>
    </comment>
    <comment ref="B14" authorId="0" shapeId="0">
      <text>
        <t>A positive spread means the asset yields more on cost than the market will price it at on exit — the core of a value-add thesis. Negative means you are buying above what the exit supports.</t>
      </text>
    </comment>
    <comment ref="B17" authorId="0" shapeId="0">
      <text>
        <t>IRR of the UNLEVERED cash-flow line: total project cost out at year 0, cash flow before debt in each year, and the exit gross of any loan payoff.
Measures the ASSET, independent of financing — which is why it is the comparable figure across deals.</t>
      </text>
    </comment>
    <comment ref="B18" authorId="0" shapeId="0">
      <text>
        <t>NPV convention: discount years 1..N with NPV(), then ADD the year-0 flow, which is already negative and must not be discounted. Excel's NPV() assumes the first value in its range is one period away, so including year 0 inside the range would wrongly discount it by a year.</t>
      </text>
    </comment>
    <comment ref="B19" authorId="0" shapeId="0">
      <text>
        <t>MOIC = total inflows / total outflows on the unlevered line. 1.00x means the money came back and nothing more.</t>
      </text>
    </comment>
    <comment ref="B22" authorId="0" shapeId="0">
      <text>
        <t>IRR of the LEVERED cash-flow line: equity out at year 0, cash flow after debt service each year, and the exit net of the outstanding loan payoff.
This is the return to the equity investor. It exceeds the unlevered IRR only when the asset yields more than the cost of debt — leverage cuts both ways.</t>
      </text>
    </comment>
    <comment ref="B23" authorId="0" shapeId="0">
      <text>
        <t>Same convention as the unlevered line: years 1..N inside NPV(), year 0 added outside it.</t>
      </text>
    </comment>
    <comment ref="B24" authorId="0" shapeId="0">
      <text>
        <t>Equity multiple to the investor. Read alongside the IRR: IRR is time-sensitive and MOIC is not, so a short hold can flatter one while the other stays poor.</t>
      </text>
    </comment>
    <comment ref="B25" authorId="0" shapeId="0">
      <text>
        <t>Total distributions less equity contributed — the dollar figure the waterfall then splits.</t>
      </text>
    </comment>
    <comment ref="B31" authorId="0" shapeId="0">
      <text>
        <t>Cash-on-cash = that year's cash flow after debt service divided by the ORIGINAL equity invested.
OPERATING cash flow only — this row references the operations line, not the total levered line, so the exit is excluded. Including it would make the final year read as a return of capital rather than a yield. Standard presentation.</t>
      </text>
    </comment>
  </commentList>
</comments>
</file>

<file path=xl/comments/comment8.xml><?xml version="1.0" encoding="utf-8"?>
<comments xmlns="http://schemas.openxmlformats.org/spreadsheetml/2006/main">
  <authors>
    <author>FPP underwriting model</author>
  </authors>
  <commentList>
    <comment ref="B5" authorId="0" shapeId="0">
      <text>
        <t>The levered cash-flow line from the DCF — cash to or from equity in each year, including the exit in the final year. It can be NEGATIVE, which is a capital call rather than a distribution.</t>
      </text>
    </comment>
    <comment ref="B6" authorId="0" shapeId="0">
      <text>
        <t>Only POSITIVE levered cash flow is distributable. A negative year is a capital call on the row below, which increases unreturned capital.
This distinction is what makes the integrity check hold: every tier floors at zero, so running a negative through them left the shortfall unallocated.</t>
      </text>
    </comment>
    <comment ref="B10" authorId="0" shapeId="0">
      <text>
        <t>TOTAL unreturned equity — LP and GP co-invest together, because GP co-invest capital is returned PARI PASSU with LP capital.
This previously tracked the LP slice only, so the GP's own contributed capital was never repaid and could only ever participate in the residual split. That understated the GP and overstated the LP.</t>
      </text>
    </comment>
    <comment ref="B11" authorId="0" shapeId="0">
      <text>
        <t>TIER 1 — RETURN OF CAPITAL. Capital comes back before any profit is shared. MIN(unreturned capital, distributable cash) so the tier can never pay out more than exists, or more than is owed. Split to LP and GP on the two rows below.</t>
      </text>
    </comment>
    <comment ref="B18" authorId="0" shapeId="0">
      <text>
        <t>TIER 2 — PREFERRED RETURN. Accrues at the pref rate on UNRETURNED capital and is paid only after capital has been returned in that year. Any unpaid balance carries forward, which is what makes it 'preferred'.
Modelled as a SIMPLE (non-compounding) annual accrual — the common convention. Some LPAs compound the pref; that is a term to confirm against the actual document rather than assume.</t>
      </text>
    </comment>
    <comment ref="B25" authorId="0" shapeId="0">
      <text>
        <t>TIER 3 — GP CATCH-UP. Once capital and pref are paid, the GP receives a catch-up so it holds its promote share of profit distributions.
The p/(1-p) factor is the standard full-catch-up form: at a 20% promote the GP takes 0.25 of every dollar of pref paid, bringing it to 20% of the combined amount.</t>
      </text>
    </comment>
    <comment ref="B28" authorId="0" shapeId="0">
      <text>
        <t>TIER 4 — RESIDUAL SPLIT. Everything above capital, pref and catch-up splits at the promote percentage — 80/20 LP/GP at a 20% promote.</t>
      </text>
    </comment>
    <comment ref="B33" authorId="0" shapeId="0">
      <text>
        <t>INTEGRITY CHECK. Must be zero in every year and in total.
LP + GP allocations must equal DISTRIBUTABLE cash, not the levered cash flow — a capital-call year distributes nothing. A non-zero value means a tier is leaking, and this check caught exactly that during construction.</t>
      </text>
    </comment>
    <comment ref="B37" authorId="0" shapeId="0">
      <text>
        <t>The GP's realised share, including its co-invest capital and pref. On a deal that never clears the preferred return the promote portion is zero — it is earned, not granted, which is the whole point of the structure.</t>
      </text>
    </comment>
  </commentList>
</comments>
</file>

<file path=xl/comments/comment9.xml><?xml version="1.0" encoding="utf-8"?>
<comments xmlns="http://schemas.openxmlformats.org/spreadsheetml/2006/main">
  <authors>
    <author>FPP underwriting model</author>
  </authors>
  <commentList>
    <comment ref="B7" authorId="0" shapeId="0">
      <text>
        <t>Market value created by the renovation. ADDED to AS-IS — repairs are never subtracted from value.</t>
      </text>
    </comment>
    <comment ref="B8" authorId="0" shapeId="0">
      <text>
        <t>From the Assumptions tab, where the neighbourhood ceiling and the sanity cap are applied.</t>
      </text>
    </comment>
    <comment ref="B10" authorId="0" shapeId="0">
      <text>
        <t>When YES, additional repair spend does NOT raise ARV — the comp set will not support it.
This is the single most common way a rehab loses money, and it is why raising the repair budget can leave ARV unchanged.</t>
      </text>
    </comment>
    <comment ref="B14" authorId="0" shapeId="0">
      <text>
        <t>MAO = MIN(margin-tier price, best real buyer's ceiling).
The tier alone answers 'what can I pay and still make my number?'. It does NOT answer 'what will anyone pay me?', and those are different figures — see the BUYER CEILING section below, which is where this number usually comes from.
On this subject the tier allowed $226,996 and every simulated buyer passed; the two buyer screens capped out near $189,000.</t>
      </text>
    </comment>
    <comment ref="B17" authorId="0" shapeId="0">
      <text>
        <t>Positive means the price is below your maximum. Zero means the price IS the maximum — which is the case whenever no contract price has been entered, since that cell defaults to MAO.</t>
      </text>
    </comment>
    <comment ref="B20" authorId="0" shapeId="0">
      <text>
        <t>Shown only so the net spread below can be compared against it.</t>
      </text>
    </comment>
    <comment ref="B23" authorId="0" shapeId="0">
      <text>
        <t>Carry over the wholesale hold.
FLAGGED: expressed as a % of ARV, which is a wholesaling shorthand rather than an institutional convention. Kept on this basis only so the figure reconciles to the FPP engine.</t>
      </text>
    </comment>
    <comment ref="B25" authorId="0" shapeId="0">
      <text>
        <t>ARV less price, repairs, selling costs, holding costs and buy-side closing.
This is the real number. The gross spread above flatters by ignoring every cost of getting from contract to closed resale.</t>
      </text>
    </comment>
    <comment ref="B26" authorId="0" shapeId="0">
      <text>
        <t>A thin percentage here is the signal to walk.
Note the comps ARV carries roughly 13% median absolute error in blind backtesting — wider than a typical wholesale spread. That is why this is triage-grade and not offer-grade.</t>
      </text>
    </comment>
    <comment ref="B29" authorId="0" shapeId="0">
      <text>
        <t>Pay no more than this share of after-repair value, less rehab. The remainder is not profit — it covers profit, selling costs, holding costs and contingency. Flippers conventionally want 15-25% of ARV as gross profit.</t>
      </text>
    </comment>
    <comment ref="B31" authorId="0" shapeId="0">
      <text>
        <t>A financed buyer is capped by their lender, not by a rule of thumb. Most DSCR lenders require 1.20-1.25x.</t>
      </text>
    </comment>
    <comment ref="B35" authorId="0" shapeId="0">
      <text>
        <t>Solve the coverage test backwards: this is the largest annual debt service the property's own NOI will carry at the target coverage.</t>
      </text>
    </comment>
    <comment ref="B36" authorId="0" shapeId="0">
      <text>
        <t>Written out as arithmetic rather than PMT() so a reader can audit it: r(1+r)^n / ((1+r)^n - 1), monthly, times 12.</t>
      </text>
    </comment>
    <comment ref="B39" authorId="0" shapeId="0">
      <text>
        <t>The HIGHER of the two, because only one buyer type needs to clear.
When the two screens land close together, that convergence is evidence: on this subject they were $985 apart, which is why ~$189,000 is treated as the clearing price rather than an artifact of either rule.</t>
      </text>
    </comment>
    <comment ref="B41" authorId="0" shapeId="0">
      <text>
        <t>What our own margin tier would allow. Kept visible BESIDE the buyer ceiling rather than used as the offer, because pricing here is what produced a contract nobody wanted.</t>
      </text>
    </comment>
    <comment ref="B43" authorId="0" shapeId="0">
      <text>
        <t>How far our target margin sits above what any buyer can actually pay. On this subject it was $37,400.</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Relationships xmlns="http://schemas.openxmlformats.org/package/2006/relationships"><Relationship Type="http://schemas.openxmlformats.org/officeDocument/2006/relationships/comments" Target="/xl/comments/comment9.xml" Id="comments" /><Relationship Type="http://schemas.openxmlformats.org/officeDocument/2006/relationships/vmlDrawing" Target="/xl/drawings/commentsDrawing9.vml" Id="anysvml" /></Relationships>
</file>

<file path=xl/worksheets/_rels/sheet11.xml.rels><Relationships xmlns="http://schemas.openxmlformats.org/package/2006/relationships"><Relationship Type="http://schemas.openxmlformats.org/officeDocument/2006/relationships/comments" Target="/xl/comments/comment10.xml" Id="comments" /><Relationship Type="http://schemas.openxmlformats.org/officeDocument/2006/relationships/vmlDrawing" Target="/xl/drawings/commentsDrawing10.vml" Id="anysvml" /></Relationships>
</file>

<file path=xl/worksheets/_rels/sheet2.xml.rels><Relationships xmlns="http://schemas.openxmlformats.org/package/2006/relationships"><Relationship Type="http://schemas.openxmlformats.org/officeDocument/2006/relationships/comments" Target="/xl/comments/comment1.xml" Id="comments" /><Relationship Type="http://schemas.openxmlformats.org/officeDocument/2006/relationships/vmlDrawing" Target="/xl/drawings/commentsDrawing1.vml" Id="anysvml" /></Relationships>
</file>

<file path=xl/worksheets/_rels/sheet3.xml.rels><Relationships xmlns="http://schemas.openxmlformats.org/package/2006/relationships"><Relationship Type="http://schemas.openxmlformats.org/officeDocument/2006/relationships/comments" Target="/xl/comments/comment2.xml" Id="comments" /><Relationship Type="http://schemas.openxmlformats.org/officeDocument/2006/relationships/vmlDrawing" Target="/xl/drawings/commentsDrawing2.vml" Id="anysvml" /></Relationships>
</file>

<file path=xl/worksheets/_rels/sheet4.xml.rels><Relationships xmlns="http://schemas.openxmlformats.org/package/2006/relationships"><Relationship Type="http://schemas.openxmlformats.org/officeDocument/2006/relationships/comments" Target="/xl/comments/comment3.xml" Id="comments" /><Relationship Type="http://schemas.openxmlformats.org/officeDocument/2006/relationships/vmlDrawing" Target="/xl/drawings/commentsDrawing3.vml" Id="anysvml" /></Relationships>
</file>

<file path=xl/worksheets/_rels/sheet5.xml.rels><Relationships xmlns="http://schemas.openxmlformats.org/package/2006/relationships"><Relationship Type="http://schemas.openxmlformats.org/officeDocument/2006/relationships/comments" Target="/xl/comments/comment4.xml" Id="comments" /><Relationship Type="http://schemas.openxmlformats.org/officeDocument/2006/relationships/vmlDrawing" Target="/xl/drawings/commentsDrawing4.vml" Id="anysvml" /></Relationships>
</file>

<file path=xl/worksheets/_rels/sheet6.xml.rels><Relationships xmlns="http://schemas.openxmlformats.org/package/2006/relationships"><Relationship Type="http://schemas.openxmlformats.org/officeDocument/2006/relationships/comments" Target="/xl/comments/comment5.xml" Id="comments" /><Relationship Type="http://schemas.openxmlformats.org/officeDocument/2006/relationships/vmlDrawing" Target="/xl/drawings/commentsDrawing5.vml" Id="anysvml" /></Relationships>
</file>

<file path=xl/worksheets/_rels/sheet7.xml.rels><Relationships xmlns="http://schemas.openxmlformats.org/package/2006/relationships"><Relationship Type="http://schemas.openxmlformats.org/officeDocument/2006/relationships/comments" Target="/xl/comments/comment6.xml" Id="comments" /><Relationship Type="http://schemas.openxmlformats.org/officeDocument/2006/relationships/vmlDrawing" Target="/xl/drawings/commentsDrawing6.vml" Id="anysvml" /></Relationships>
</file>

<file path=xl/worksheets/_rels/sheet8.xml.rels><Relationships xmlns="http://schemas.openxmlformats.org/package/2006/relationships"><Relationship Type="http://schemas.openxmlformats.org/officeDocument/2006/relationships/comments" Target="/xl/comments/comment7.xml" Id="comments" /><Relationship Type="http://schemas.openxmlformats.org/officeDocument/2006/relationships/vmlDrawing" Target="/xl/drawings/commentsDrawing7.vml" Id="anysvml" /></Relationships>
</file>

<file path=xl/worksheets/_rels/sheet9.xml.rels><Relationships xmlns="http://schemas.openxmlformats.org/package/2006/relationships"><Relationship Type="http://schemas.openxmlformats.org/officeDocument/2006/relationships/comments" Target="/xl/comments/comment8.xml" Id="comments" /><Relationship Type="http://schemas.openxmlformats.org/officeDocument/2006/relationships/vmlDrawing" Target="/xl/drawings/commentsDrawing8.vml" Id="anysvml" /></Relationships>
</file>

<file path=xl/worksheets/sheet1.xml><?xml version="1.0" encoding="utf-8"?>
<worksheet xmlns="http://schemas.openxmlformats.org/spreadsheetml/2006/main">
  <sheetPr>
    <outlinePr summaryBelow="1" summaryRight="1"/>
    <pageSetUpPr fitToPage="1"/>
  </sheetPr>
  <dimension ref="A1:C40"/>
  <sheetViews>
    <sheetView showGridLines="0" workbookViewId="0">
      <selection activeCell="A1" sqref="A1"/>
    </sheetView>
  </sheetViews>
  <sheetFormatPr baseColWidth="8" defaultRowHeight="15"/>
  <cols>
    <col width="40" customWidth="1" min="1" max="1"/>
    <col width="18" customWidth="1" min="2" max="2"/>
    <col width="58" customWidth="1" min="3" max="3"/>
  </cols>
  <sheetData>
    <row r="1">
      <c r="A1" s="1" t="inlineStr">
        <is>
          <t>INVESTMENT SUMMARY</t>
        </is>
      </c>
    </row>
    <row r="2">
      <c r="A2" s="2" t="inlineStr">
        <is>
          <t>1813 Linden Ave, Memphis, TN 38104</t>
        </is>
      </c>
      <c r="C2" s="3" t="inlineStr">
        <is>
          <t>Every figure here is a reference. Nothing is typed on this page — change inputs on the Assumptions tab.</t>
        </is>
      </c>
    </row>
    <row r="4">
      <c r="A4" s="4" t="inlineStr">
        <is>
          <t>THE ASSET</t>
        </is>
      </c>
      <c r="B4" s="5" t="n"/>
      <c r="C4" s="5" t="n"/>
    </row>
    <row r="5">
      <c r="A5" t="inlineStr">
        <is>
          <t>Square footage</t>
        </is>
      </c>
      <c r="B5" s="6">
        <f>Assumptions!B10</f>
        <v/>
      </c>
    </row>
    <row r="6">
      <c r="A6" t="inlineStr">
        <is>
          <t>AS-IS value</t>
        </is>
      </c>
      <c r="B6" s="6">
        <f>Assumptions!B6</f>
        <v/>
      </c>
    </row>
    <row r="7">
      <c r="A7" t="inlineStr">
        <is>
          <t>Repair budget</t>
        </is>
      </c>
      <c r="B7" s="6">
        <f>Assumptions!B7</f>
        <v/>
      </c>
    </row>
    <row r="8">
      <c r="A8" s="7" t="inlineStr">
        <is>
          <t>ARV</t>
        </is>
      </c>
      <c r="B8" s="8">
        <f>Assumptions!B12</f>
        <v/>
      </c>
    </row>
    <row r="9">
      <c r="A9" t="inlineStr">
        <is>
          <t>Purchase price</t>
        </is>
      </c>
      <c r="B9" s="6">
        <f>Assumptions!B17</f>
        <v/>
      </c>
    </row>
    <row r="10">
      <c r="A10" t="inlineStr">
        <is>
          <t>Total project cost</t>
        </is>
      </c>
      <c r="B10" s="6">
        <f>Returns!B5</f>
        <v/>
      </c>
    </row>
    <row r="12">
      <c r="A12" s="4" t="inlineStr">
        <is>
          <t>CAPITALISATION</t>
        </is>
      </c>
      <c r="B12" s="5" t="n"/>
      <c r="C12" s="5" t="n"/>
    </row>
    <row r="13">
      <c r="A13" t="inlineStr">
        <is>
          <t>Senior debt</t>
        </is>
      </c>
      <c r="B13" s="6">
        <f>Returns!B7</f>
        <v/>
      </c>
    </row>
    <row r="14">
      <c r="A14" s="7" t="inlineStr">
        <is>
          <t>Total equity</t>
        </is>
      </c>
      <c r="B14" s="8">
        <f>Returns!B6</f>
        <v/>
      </c>
    </row>
    <row r="15">
      <c r="A15" t="inlineStr">
        <is>
          <t>Sources less uses (must be 0)</t>
        </is>
      </c>
      <c r="B15" s="6">
        <f>'Sources &amp; Uses'!B19</f>
        <v/>
      </c>
    </row>
    <row r="17">
      <c r="A17" s="4" t="inlineStr">
        <is>
          <t>WHOLESALE CASE</t>
        </is>
      </c>
      <c r="B17" s="5" t="n"/>
      <c r="C17" s="5" t="n"/>
    </row>
    <row r="18">
      <c r="A18" s="7" t="inlineStr">
        <is>
          <t>Maximum allowable offer</t>
        </is>
      </c>
      <c r="B18" s="8">
        <f>Wholesale!B14</f>
        <v/>
      </c>
    </row>
    <row r="19">
      <c r="A19" s="7" t="inlineStr">
        <is>
          <t>Net spread</t>
        </is>
      </c>
      <c r="B19" s="8">
        <f>Wholesale!B25</f>
        <v/>
      </c>
    </row>
    <row r="20">
      <c r="A20" t="inlineStr">
        <is>
          <t>Net spread % of ARV</t>
        </is>
      </c>
      <c r="B20" s="9">
        <f>Wholesale!B26</f>
        <v/>
      </c>
    </row>
    <row r="22">
      <c r="A22" s="4" t="inlineStr">
        <is>
          <t>HOLD CASE — YEAR 1</t>
        </is>
      </c>
      <c r="B22" s="5" t="n"/>
      <c r="C22" s="5" t="n"/>
    </row>
    <row r="23">
      <c r="A23" t="inlineStr">
        <is>
          <t>Potential gross income</t>
        </is>
      </c>
      <c r="B23" s="6">
        <f>DCF!C11</f>
        <v/>
      </c>
    </row>
    <row r="24">
      <c r="A24" t="inlineStr">
        <is>
          <t>Effective gross income</t>
        </is>
      </c>
      <c r="B24" s="6">
        <f>DCF!C15</f>
        <v/>
      </c>
    </row>
    <row r="25">
      <c r="A25" s="7" t="inlineStr">
        <is>
          <t>Net operating income</t>
        </is>
      </c>
      <c r="B25" s="8">
        <f>DCF!C17</f>
        <v/>
      </c>
      <c r="C25" s="3" t="inlineStr">
        <is>
          <t>Before reserves, fees and debt service.</t>
        </is>
      </c>
    </row>
    <row r="26">
      <c r="A26" s="7" t="inlineStr">
        <is>
          <t>Going-in cap rate</t>
        </is>
      </c>
      <c r="B26" s="10">
        <f>Returns!B10</f>
        <v/>
      </c>
      <c r="C26" s="3" t="inlineStr">
        <is>
          <t>NOI / purchase price.</t>
        </is>
      </c>
    </row>
    <row r="27">
      <c r="A27" t="inlineStr">
        <is>
          <t>Yield on cost</t>
        </is>
      </c>
      <c r="B27" s="11">
        <f>Returns!B11</f>
        <v/>
      </c>
    </row>
    <row r="28">
      <c r="A28" s="7" t="inlineStr">
        <is>
          <t>Debt yield</t>
        </is>
      </c>
      <c r="B28" s="10">
        <f>Returns!B12</f>
        <v/>
      </c>
    </row>
    <row r="29">
      <c r="A29" s="7" t="inlineStr">
        <is>
          <t>Minimum DSCR over the hold</t>
        </is>
      </c>
      <c r="B29" s="12">
        <f>Debt!B24</f>
        <v/>
      </c>
      <c r="C29" s="3" t="inlineStr">
        <is>
          <t>Lenders size to the weakest year.</t>
        </is>
      </c>
    </row>
    <row r="31">
      <c r="A31" s="4" t="inlineStr">
        <is>
          <t>RETURNS</t>
        </is>
      </c>
      <c r="B31" s="5" t="n"/>
      <c r="C31" s="5" t="n"/>
    </row>
    <row r="32">
      <c r="A32" t="inlineStr">
        <is>
          <t>Unlevered IRR</t>
        </is>
      </c>
      <c r="B32" s="11">
        <f>Returns!B17</f>
        <v/>
      </c>
    </row>
    <row r="33">
      <c r="A33" s="7" t="inlineStr">
        <is>
          <t>Levered IRR</t>
        </is>
      </c>
      <c r="B33" s="10">
        <f>Returns!B22</f>
        <v/>
      </c>
    </row>
    <row r="34">
      <c r="A34" s="7" t="inlineStr">
        <is>
          <t>Equity multiple (MOIC)</t>
        </is>
      </c>
      <c r="B34" s="12">
        <f>Returns!B24</f>
        <v/>
      </c>
    </row>
    <row r="35">
      <c r="A35" s="7" t="inlineStr">
        <is>
          <t>NPV at discount rate</t>
        </is>
      </c>
      <c r="B35" s="8">
        <f>Returns!B23</f>
        <v/>
      </c>
    </row>
    <row r="36">
      <c r="A36" t="inlineStr">
        <is>
          <t>Gross exit value</t>
        </is>
      </c>
      <c r="B36" s="6">
        <f>DCF!L26</f>
        <v/>
      </c>
    </row>
    <row r="38">
      <c r="A38" s="3" t="inlineStr">
        <is>
          <t>TRIAGE-GRADE. Figures marked as estimates are model output, not appraisal. No interior inspection has been performed and every expense line is a percentage convention rather than a bill. BLUE cells on the Assumptions tab are the only inputs in this workbook; everything else is a formula.</t>
        </is>
      </c>
    </row>
    <row r="40">
      <c r="A40" s="3" t="inlineStr">
        <is>
          <t>CONVENTIONS: PGI = gross scheduled rent plus other income; vacancy, credit loss and concessions are each a % of PGI. NOI = EGI less operating expenses, before reserves, the asset management fee and debt service. Going-in cap rate on purchase price. Exit value on FORWARD (N+1) NOI over the exit cap. Loan repaid at its outstanding balance. Unlevered IRR off cash flow before debt against total project cost; levered IRR off cash flow after debt against equity.</t>
        </is>
      </c>
    </row>
  </sheetData>
  <printOptions horizontalCentered="1"/>
  <pageMargins left="0.75" right="0.75" top="1" bottom="1" header="0.5" footer="0.5"/>
  <pageSetup orientation="landscape" fitToHeight="0" fitToWidth="1"/>
  <headerFooter>
    <oddHeader>&amp;L1813 Linden Ave, Memphis, TN 38104&amp;RField Property Partners</oddHeader>
    <oddFooter>&amp;L&amp;A&amp;RPage &amp;P of &amp;N</oddFooter>
    <evenHeader/>
    <evenFooter/>
    <firstHeader/>
    <firstFooter/>
  </headerFooter>
</worksheet>
</file>

<file path=xl/worksheets/sheet10.xml><?xml version="1.0" encoding="utf-8"?>
<worksheet xmlns="http://schemas.openxmlformats.org/spreadsheetml/2006/main">
  <sheetPr>
    <outlinePr summaryBelow="1" summaryRight="1"/>
    <pageSetUpPr fitToPage="1"/>
  </sheetPr>
  <dimension ref="A1:C43"/>
  <sheetViews>
    <sheetView showGridLines="0" workbookViewId="0">
      <selection activeCell="A1" sqref="A1"/>
    </sheetView>
  </sheetViews>
  <sheetFormatPr baseColWidth="8" defaultRowHeight="15"/>
  <cols>
    <col width="38" customWidth="1" min="1" max="1"/>
    <col width="16" customWidth="1" min="2" max="2"/>
    <col width="58" customWidth="1" min="3" max="3"/>
  </cols>
  <sheetData>
    <row r="1">
      <c r="A1" s="1" t="inlineStr">
        <is>
          <t>WHOLESALE LAYER — ARV / MAO / SPREAD</t>
        </is>
      </c>
    </row>
    <row r="2">
      <c r="A2" s="2" t="inlineStr">
        <is>
          <t>1813 Linden Ave, Memphis, TN 38104</t>
        </is>
      </c>
      <c r="C2" s="3" t="inlineStr">
        <is>
          <t>This layer governs a solo assignment. The Waterfall tab does not apply to it.</t>
        </is>
      </c>
    </row>
    <row r="4">
      <c r="A4" s="4" t="inlineStr">
        <is>
          <t>VALUE</t>
        </is>
      </c>
      <c r="B4" s="5" t="n"/>
      <c r="C4" s="5" t="n"/>
    </row>
    <row r="5">
      <c r="A5" t="inlineStr">
        <is>
          <t>AS-IS value</t>
        </is>
      </c>
      <c r="B5" s="6">
        <f>Assumptions!B6</f>
        <v/>
      </c>
    </row>
    <row r="6">
      <c r="A6" t="inlineStr">
        <is>
          <t>Repair budget</t>
        </is>
      </c>
      <c r="B6" s="6">
        <f>Assumptions!B7</f>
        <v/>
      </c>
    </row>
    <row r="7">
      <c r="A7" t="inlineStr">
        <is>
          <t>Renovation uplift</t>
        </is>
      </c>
      <c r="B7" s="6">
        <f>Assumptions!B7*Assumptions!B8</f>
        <v/>
      </c>
      <c r="C7" s="3" t="inlineStr">
        <is>
          <t>Repair x uplift multiple.</t>
        </is>
      </c>
    </row>
    <row r="8">
      <c r="A8" s="7" t="inlineStr">
        <is>
          <t>ARV (after-repair value)</t>
        </is>
      </c>
      <c r="B8" s="8">
        <f>Assumptions!B12</f>
        <v/>
      </c>
      <c r="C8" s="3" t="inlineStr">
        <is>
          <t>After the ceiling and ratio caps.</t>
        </is>
      </c>
    </row>
    <row r="9">
      <c r="A9" t="inlineStr">
        <is>
          <t xml:space="preserve">  Ceiling that would apply</t>
        </is>
      </c>
      <c r="B9" s="6">
        <f>Assumptions!B9*Assumptions!B10</f>
        <v/>
      </c>
      <c r="C9" s="3" t="inlineStr">
        <is>
          <t>Q3 comp $/sqft x subject sqft.</t>
        </is>
      </c>
    </row>
    <row r="10">
      <c r="A10" t="inlineStr">
        <is>
          <t xml:space="preserve">  Is the ceiling binding?</t>
        </is>
      </c>
      <c r="B10" s="23">
        <f>IF(Assumptions!B6+Assumptions!B7*Assumptions!B8&gt;B9,"YES - ARV is capped","No - headroom remains")</f>
        <v/>
      </c>
    </row>
    <row r="12">
      <c r="A12" s="4" t="inlineStr">
        <is>
          <t>OFFER</t>
        </is>
      </c>
      <c r="B12" s="5" t="n"/>
      <c r="C12" s="5" t="n"/>
    </row>
    <row r="13">
      <c r="A13" t="inlineStr">
        <is>
          <t>MAO margin (Rental / turnkey buyer)</t>
        </is>
      </c>
      <c r="B13" s="9">
        <f>Assumptions!B15</f>
        <v/>
      </c>
    </row>
    <row r="14">
      <c r="A14" s="7" t="inlineStr">
        <is>
          <t>Maximum allowable offer (MAO)</t>
        </is>
      </c>
      <c r="B14" s="8">
        <f>MIN(B41,B39)</f>
        <v/>
      </c>
      <c r="C14" s="3" t="inlineStr">
        <is>
          <t>Lower of the margin tier and the buyer ceiling.</t>
        </is>
      </c>
    </row>
    <row r="15">
      <c r="A15" s="7" t="inlineStr">
        <is>
          <t xml:space="preserve">  less assignment fee</t>
        </is>
      </c>
      <c r="B15" s="8">
        <f>B14-Assumptions!B16</f>
        <v/>
      </c>
      <c r="C15" s="3" t="inlineStr">
        <is>
          <t>What you can offer and still earn the fee.</t>
        </is>
      </c>
    </row>
    <row r="16">
      <c r="A16" t="inlineStr">
        <is>
          <t>Purchase price</t>
        </is>
      </c>
      <c r="B16" s="6">
        <f>Assumptions!B17</f>
        <v/>
      </c>
    </row>
    <row r="17">
      <c r="A17" t="inlineStr">
        <is>
          <t>Headroom vs MAO</t>
        </is>
      </c>
      <c r="B17" s="6">
        <f>B14-B16</f>
        <v/>
      </c>
    </row>
    <row r="19">
      <c r="A19" s="4" t="inlineStr">
        <is>
          <t>SPREAD</t>
        </is>
      </c>
      <c r="B19" s="5" t="n"/>
      <c r="C19" s="5" t="n"/>
    </row>
    <row r="20">
      <c r="A20" t="inlineStr">
        <is>
          <t>Gross spread (ARV less price)</t>
        </is>
      </c>
      <c r="B20" s="6">
        <f>B8-B16</f>
        <v/>
      </c>
      <c r="C20" s="3" t="inlineStr">
        <is>
          <t>The naive figure. Never quote this one.</t>
        </is>
      </c>
    </row>
    <row r="21">
      <c r="A21" t="inlineStr">
        <is>
          <t xml:space="preserve">  less repairs</t>
        </is>
      </c>
      <c r="B21" s="6">
        <f>-B6</f>
        <v/>
      </c>
    </row>
    <row r="22">
      <c r="A22" t="inlineStr">
        <is>
          <t xml:space="preserve">  less selling costs</t>
        </is>
      </c>
      <c r="B22" s="6">
        <f>-B8*Assumptions!B19</f>
        <v/>
      </c>
    </row>
    <row r="23">
      <c r="A23" t="inlineStr">
        <is>
          <t xml:space="preserve">  less holding costs</t>
        </is>
      </c>
      <c r="B23" s="6">
        <f>-B8*Assumptions!B20*Assumptions!B21</f>
        <v/>
      </c>
    </row>
    <row r="24">
      <c r="A24" t="inlineStr">
        <is>
          <t xml:space="preserve">  less buy-side closing</t>
        </is>
      </c>
      <c r="B24" s="6">
        <f>-B16*Assumptions!B18</f>
        <v/>
      </c>
    </row>
    <row r="25">
      <c r="A25" s="17" t="inlineStr">
        <is>
          <t>NET SPREAD</t>
        </is>
      </c>
      <c r="B25" s="18">
        <f>B20+B21+B22+B23+B24</f>
        <v/>
      </c>
    </row>
    <row r="26">
      <c r="A26" t="inlineStr">
        <is>
          <t>Net spread % of ARV</t>
        </is>
      </c>
      <c r="B26" s="9">
        <f>IF(B8=0,0,B25/B8)</f>
        <v/>
      </c>
    </row>
    <row r="28">
      <c r="A28" s="4" t="inlineStr">
        <is>
          <t>BUYER CEILING — WHAT A REAL BUYER CAN PAY</t>
        </is>
      </c>
      <c r="B28" s="5" t="n"/>
      <c r="C28" s="26" t="inlineStr">
        <is>
          <t>Two independent screens. The HIGHER of them is the ceiling, because only ONE buyer type has to clear: a deal a flipper will not touch can still work for a landlord. These inputs are BLUE — they are market conventions, and an operator should argue with them.</t>
        </is>
      </c>
    </row>
    <row r="29">
      <c r="A29" t="inlineStr">
        <is>
          <t>Flipper rule (% of ARV)</t>
        </is>
      </c>
      <c r="B29" s="19" t="n">
        <v>0.7</v>
      </c>
      <c r="C29" s="3" t="inlineStr">
        <is>
          <t>0.70 conventionally; 0.75-0.80 above ~$400k ARV.</t>
        </is>
      </c>
    </row>
    <row r="30">
      <c r="A30" s="7" t="inlineStr">
        <is>
          <t>Flipper maximum price</t>
        </is>
      </c>
      <c r="B30" s="8">
        <f>B8*B29-B6</f>
        <v/>
      </c>
      <c r="C30" s="3" t="inlineStr">
        <is>
          <t>Rule x ARV - repairs.</t>
        </is>
      </c>
    </row>
    <row r="31">
      <c r="A31" t="inlineStr">
        <is>
          <t>Buyer DSCR target</t>
        </is>
      </c>
      <c r="B31" s="15" t="n">
        <v>1.2</v>
      </c>
      <c r="C31" s="3" t="inlineStr">
        <is>
          <t>1.20 is the common lender floor.</t>
        </is>
      </c>
    </row>
    <row r="32">
      <c r="A32" t="inlineStr">
        <is>
          <t>Buyer LTV</t>
        </is>
      </c>
      <c r="B32" s="19" t="n">
        <v>0.75</v>
      </c>
      <c r="C32" s="3" t="inlineStr">
        <is>
          <t>Their leverage, not ours.</t>
        </is>
      </c>
    </row>
    <row r="33">
      <c r="A33" t="inlineStr">
        <is>
          <t>Buyer interest rate</t>
        </is>
      </c>
      <c r="B33" s="19" t="n">
        <v>0.075</v>
      </c>
      <c r="C33" s="3" t="inlineStr">
        <is>
          <t>Their cost of debt.</t>
        </is>
      </c>
    </row>
    <row r="34">
      <c r="A34" t="inlineStr">
        <is>
          <t>Buyer amortisation (years)</t>
        </is>
      </c>
      <c r="B34" s="14" t="n">
        <v>30</v>
      </c>
    </row>
    <row r="35">
      <c r="A35" t="inlineStr">
        <is>
          <t xml:space="preserve">  Max annual debt service the NOI supports</t>
        </is>
      </c>
      <c r="B35" s="6">
        <f>IF(B31=0,0,'T-12'!N16/B31)</f>
        <v/>
      </c>
      <c r="C35" s="3" t="inlineStr">
        <is>
          <t>Year-1 NOI / DSCR target.</t>
        </is>
      </c>
    </row>
    <row r="36">
      <c r="A36" t="inlineStr">
        <is>
          <t xml:space="preserve">  Mortgage constant (annual, per $1 of loan)</t>
        </is>
      </c>
      <c r="B36" s="27">
        <f>IF(OR(B33=0,B34=0),0,(B33/12*(1+B33/12)^(B34*12))/((1+B33/12)^(B34*12)-1)*12)</f>
        <v/>
      </c>
      <c r="C36" s="3" t="inlineStr">
        <is>
          <t>Standard annuity factor, annualised.</t>
        </is>
      </c>
    </row>
    <row r="37">
      <c r="A37" t="inlineStr">
        <is>
          <t xml:space="preserve">  Maximum loan</t>
        </is>
      </c>
      <c r="B37" s="6">
        <f>IF(B36=0,0,B35/B36)</f>
        <v/>
      </c>
      <c r="C37" s="3" t="inlineStr">
        <is>
          <t>Debt service / mortgage constant.</t>
        </is>
      </c>
    </row>
    <row r="38">
      <c r="A38" s="7" t="inlineStr">
        <is>
          <t>Rental buyer maximum price</t>
        </is>
      </c>
      <c r="B38" s="8">
        <f>IF(B32=0,0,B37/B32)</f>
        <v/>
      </c>
      <c r="C38" s="3" t="inlineStr">
        <is>
          <t>Max loan / their LTV.</t>
        </is>
      </c>
    </row>
    <row r="39">
      <c r="A39" s="17" t="inlineStr">
        <is>
          <t>BEST REAL BUYER CEILING</t>
        </is>
      </c>
      <c r="B39" s="18">
        <f>MAX(B30,B38)</f>
        <v/>
      </c>
      <c r="C39" s="3" t="inlineStr">
        <is>
          <t>The higher of the two screens.</t>
        </is>
      </c>
    </row>
    <row r="40">
      <c r="A40" t="inlineStr">
        <is>
          <t xml:space="preserve">  Which buyer sets it</t>
        </is>
      </c>
      <c r="B40" s="23">
        <f>IF(B38&gt;=B30,"Financed rental buyer (DSCR)","Flipper (% of ARV rule)")</f>
        <v/>
      </c>
    </row>
    <row r="41">
      <c r="A41" t="inlineStr">
        <is>
          <t>Margin-tier price (our target, NOT an offer)</t>
        </is>
      </c>
      <c r="B41" s="6">
        <f>B8*B13-B6</f>
        <v/>
      </c>
      <c r="C41" s="3" t="inlineStr">
        <is>
          <t>ARV x tier margin - repairs.</t>
        </is>
      </c>
    </row>
    <row r="42">
      <c r="A42" s="28" t="inlineStr">
        <is>
          <t xml:space="preserve">  Which constraint binds</t>
        </is>
      </c>
      <c r="B42" s="29">
        <f>IF(B41&lt;B39,"Our margin tier (conservative)","Buyer ceiling — the tier is above what any buyer can pay")</f>
        <v/>
      </c>
    </row>
    <row r="43">
      <c r="A43" t="inlineStr">
        <is>
          <t xml:space="preserve">  Tier overhang (tier less buyer ceiling)</t>
        </is>
      </c>
      <c r="B43" s="6">
        <f>MAX(0,B41-B39)</f>
        <v/>
      </c>
      <c r="C43" s="3" t="inlineStr">
        <is>
          <t>Zero is good. Positive is the gap that loses deals.</t>
        </is>
      </c>
    </row>
  </sheetData>
  <printOptions horizontalCentered="1"/>
  <pageMargins left="0.75" right="0.75" top="1" bottom="1" header="0.5" footer="0.5"/>
  <pageSetup orientation="landscape" fitToHeight="0" fitToWidth="1"/>
  <headerFooter>
    <oddHeader>&amp;L1813 Linden Ave, Memphis, TN 38104&amp;RField Property Partners</oddHeader>
    <oddFooter>&amp;L&amp;A&amp;RPage &amp;P of &amp;N</oddFooter>
    <evenHeader/>
    <evenFooter/>
    <firstHeader/>
    <firstFooter/>
  </headerFooter>
  <legacyDrawing xmlns:r="http://schemas.openxmlformats.org/officeDocument/2006/relationships" r:id="anysvml"/>
</worksheet>
</file>

<file path=xl/worksheets/sheet11.xml><?xml version="1.0" encoding="utf-8"?>
<worksheet xmlns="http://schemas.openxmlformats.org/spreadsheetml/2006/main">
  <sheetPr>
    <outlinePr summaryBelow="1" summaryRight="1"/>
    <pageSetUpPr fitToPage="1"/>
  </sheetPr>
  <dimension ref="A1:G44"/>
  <sheetViews>
    <sheetView showGridLines="0"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s>
  <sheetData>
    <row r="1">
      <c r="A1" s="1" t="inlineStr">
        <is>
          <t>SENSITIVITY</t>
        </is>
      </c>
    </row>
    <row r="2">
      <c r="A2" s="2" t="inlineStr">
        <is>
          <t>Levered IRR against the two assumptions that move it most.</t>
        </is>
      </c>
      <c r="C2" s="3" t="inlineStr">
        <is>
          <t>Each column is a full scenario cash flow. The column matching the Assumptions tab reproduces the headline IRR — that is the check that these grids are wired correctly.</t>
        </is>
      </c>
    </row>
    <row r="4">
      <c r="A4" s="30" t="inlineStr">
        <is>
          <t>LEVERED IRR vs EXIT CAP</t>
        </is>
      </c>
    </row>
    <row r="5">
      <c r="A5" s="21" t="inlineStr">
        <is>
          <t>Exit cap</t>
        </is>
      </c>
      <c r="B5" s="21" t="inlineStr">
        <is>
          <t>Case 1</t>
        </is>
      </c>
      <c r="C5" s="21" t="inlineStr">
        <is>
          <t>Case 2</t>
        </is>
      </c>
      <c r="D5" s="21" t="inlineStr">
        <is>
          <t>Case 3</t>
        </is>
      </c>
      <c r="E5" s="21" t="inlineStr">
        <is>
          <t>Case 4</t>
        </is>
      </c>
      <c r="F5" s="21" t="inlineStr">
        <is>
          <t>Case 5</t>
        </is>
      </c>
      <c r="G5" s="21" t="inlineStr">
        <is>
          <t>Case 6</t>
        </is>
      </c>
    </row>
    <row r="6">
      <c r="A6" s="7" t="inlineStr">
        <is>
          <t>Exit cap</t>
        </is>
      </c>
      <c r="B6" s="20" t="n">
        <v>0.065</v>
      </c>
      <c r="C6" s="20" t="n">
        <v>0.07000000000000001</v>
      </c>
      <c r="D6" s="20" t="n">
        <v>0.075</v>
      </c>
      <c r="E6" s="20" t="n">
        <v>0.08</v>
      </c>
      <c r="F6" s="20" t="n">
        <v>0.08500000000000001</v>
      </c>
      <c r="G6" s="20" t="n">
        <v>0.09</v>
      </c>
    </row>
    <row r="7">
      <c r="A7" t="inlineStr">
        <is>
          <t>Gross exit value</t>
        </is>
      </c>
      <c r="B7" s="6">
        <f>DCF!M17/B$6</f>
        <v/>
      </c>
      <c r="C7" s="6">
        <f>DCF!M17/C$6</f>
        <v/>
      </c>
      <c r="D7" s="6">
        <f>DCF!M17/D$6</f>
        <v/>
      </c>
      <c r="E7" s="6">
        <f>DCF!M17/E$6</f>
        <v/>
      </c>
      <c r="F7" s="6">
        <f>DCF!M17/F$6</f>
        <v/>
      </c>
      <c r="G7" s="6">
        <f>DCF!M17/G$6</f>
        <v/>
      </c>
    </row>
    <row r="8">
      <c r="A8" t="inlineStr">
        <is>
          <t>Net proceeds to equity</t>
        </is>
      </c>
      <c r="B8" s="6">
        <f>B7*(1-Assumptions!$B$19-Assumptions!$B$39)-Debt!$D$22</f>
        <v/>
      </c>
      <c r="C8" s="6">
        <f>C7*(1-Assumptions!$B$19-Assumptions!$B$39)-Debt!$D$22</f>
        <v/>
      </c>
      <c r="D8" s="6">
        <f>D7*(1-Assumptions!$B$19-Assumptions!$B$39)-Debt!$D$22</f>
        <v/>
      </c>
      <c r="E8" s="6">
        <f>E7*(1-Assumptions!$B$19-Assumptions!$B$39)-Debt!$D$22</f>
        <v/>
      </c>
      <c r="F8" s="6">
        <f>F7*(1-Assumptions!$B$19-Assumptions!$B$39)-Debt!$D$22</f>
        <v/>
      </c>
      <c r="G8" s="6">
        <f>G7*(1-Assumptions!$B$19-Assumptions!$B$39)-Debt!$D$22</f>
        <v/>
      </c>
    </row>
    <row r="9">
      <c r="A9" s="7" t="inlineStr">
        <is>
          <t>Levered cash flow by year</t>
        </is>
      </c>
    </row>
    <row r="10">
      <c r="A10" t="inlineStr">
        <is>
          <t xml:space="preserve">  Year 0</t>
        </is>
      </c>
      <c r="B10" s="6">
        <f>DCF!B34</f>
        <v/>
      </c>
      <c r="C10" s="6">
        <f>DCF!B34</f>
        <v/>
      </c>
      <c r="D10" s="6">
        <f>DCF!B34</f>
        <v/>
      </c>
      <c r="E10" s="6">
        <f>DCF!B34</f>
        <v/>
      </c>
      <c r="F10" s="6">
        <f>DCF!B34</f>
        <v/>
      </c>
      <c r="G10" s="6">
        <f>DCF!B34</f>
        <v/>
      </c>
    </row>
    <row r="11">
      <c r="A11" t="inlineStr">
        <is>
          <t xml:space="preserve">  Year 1</t>
        </is>
      </c>
      <c r="B11" s="6">
        <f>DCF!C34</f>
        <v/>
      </c>
      <c r="C11" s="6">
        <f>DCF!C34</f>
        <v/>
      </c>
      <c r="D11" s="6">
        <f>DCF!C34</f>
        <v/>
      </c>
      <c r="E11" s="6">
        <f>DCF!C34</f>
        <v/>
      </c>
      <c r="F11" s="6">
        <f>DCF!C34</f>
        <v/>
      </c>
      <c r="G11" s="6">
        <f>DCF!C34</f>
        <v/>
      </c>
    </row>
    <row r="12">
      <c r="A12" t="inlineStr">
        <is>
          <t xml:space="preserve">  Year 2</t>
        </is>
      </c>
      <c r="B12" s="6">
        <f>DCF!D34</f>
        <v/>
      </c>
      <c r="C12" s="6">
        <f>DCF!D34</f>
        <v/>
      </c>
      <c r="D12" s="6">
        <f>DCF!D34</f>
        <v/>
      </c>
      <c r="E12" s="6">
        <f>DCF!D34</f>
        <v/>
      </c>
      <c r="F12" s="6">
        <f>DCF!D34</f>
        <v/>
      </c>
      <c r="G12" s="6">
        <f>DCF!D34</f>
        <v/>
      </c>
    </row>
    <row r="13">
      <c r="A13" t="inlineStr">
        <is>
          <t xml:space="preserve">  Year 3</t>
        </is>
      </c>
      <c r="B13" s="6">
        <f>DCF!E34</f>
        <v/>
      </c>
      <c r="C13" s="6">
        <f>DCF!E34</f>
        <v/>
      </c>
      <c r="D13" s="6">
        <f>DCF!E34</f>
        <v/>
      </c>
      <c r="E13" s="6">
        <f>DCF!E34</f>
        <v/>
      </c>
      <c r="F13" s="6">
        <f>DCF!E34</f>
        <v/>
      </c>
      <c r="G13" s="6">
        <f>DCF!E34</f>
        <v/>
      </c>
    </row>
    <row r="14">
      <c r="A14" t="inlineStr">
        <is>
          <t xml:space="preserve">  Year 4</t>
        </is>
      </c>
      <c r="B14" s="6">
        <f>DCF!F34</f>
        <v/>
      </c>
      <c r="C14" s="6">
        <f>DCF!F34</f>
        <v/>
      </c>
      <c r="D14" s="6">
        <f>DCF!F34</f>
        <v/>
      </c>
      <c r="E14" s="6">
        <f>DCF!F34</f>
        <v/>
      </c>
      <c r="F14" s="6">
        <f>DCF!F34</f>
        <v/>
      </c>
      <c r="G14" s="6">
        <f>DCF!F34</f>
        <v/>
      </c>
    </row>
    <row r="15">
      <c r="A15" t="inlineStr">
        <is>
          <t xml:space="preserve">  Year 5</t>
        </is>
      </c>
      <c r="B15" s="6">
        <f>DCF!G34</f>
        <v/>
      </c>
      <c r="C15" s="6">
        <f>DCF!G34</f>
        <v/>
      </c>
      <c r="D15" s="6">
        <f>DCF!G34</f>
        <v/>
      </c>
      <c r="E15" s="6">
        <f>DCF!G34</f>
        <v/>
      </c>
      <c r="F15" s="6">
        <f>DCF!G34</f>
        <v/>
      </c>
      <c r="G15" s="6">
        <f>DCF!G34</f>
        <v/>
      </c>
    </row>
    <row r="16">
      <c r="A16" t="inlineStr">
        <is>
          <t xml:space="preserve">  Year 6</t>
        </is>
      </c>
      <c r="B16" s="6">
        <f>DCF!H34</f>
        <v/>
      </c>
      <c r="C16" s="6">
        <f>DCF!H34</f>
        <v/>
      </c>
      <c r="D16" s="6">
        <f>DCF!H34</f>
        <v/>
      </c>
      <c r="E16" s="6">
        <f>DCF!H34</f>
        <v/>
      </c>
      <c r="F16" s="6">
        <f>DCF!H34</f>
        <v/>
      </c>
      <c r="G16" s="6">
        <f>DCF!H34</f>
        <v/>
      </c>
    </row>
    <row r="17">
      <c r="A17" t="inlineStr">
        <is>
          <t xml:space="preserve">  Year 7</t>
        </is>
      </c>
      <c r="B17" s="6">
        <f>DCF!I34</f>
        <v/>
      </c>
      <c r="C17" s="6">
        <f>DCF!I34</f>
        <v/>
      </c>
      <c r="D17" s="6">
        <f>DCF!I34</f>
        <v/>
      </c>
      <c r="E17" s="6">
        <f>DCF!I34</f>
        <v/>
      </c>
      <c r="F17" s="6">
        <f>DCF!I34</f>
        <v/>
      </c>
      <c r="G17" s="6">
        <f>DCF!I34</f>
        <v/>
      </c>
    </row>
    <row r="18">
      <c r="A18" t="inlineStr">
        <is>
          <t xml:space="preserve">  Year 8</t>
        </is>
      </c>
      <c r="B18" s="6">
        <f>DCF!J34</f>
        <v/>
      </c>
      <c r="C18" s="6">
        <f>DCF!J34</f>
        <v/>
      </c>
      <c r="D18" s="6">
        <f>DCF!J34</f>
        <v/>
      </c>
      <c r="E18" s="6">
        <f>DCF!J34</f>
        <v/>
      </c>
      <c r="F18" s="6">
        <f>DCF!J34</f>
        <v/>
      </c>
      <c r="G18" s="6">
        <f>DCF!J34</f>
        <v/>
      </c>
    </row>
    <row r="19">
      <c r="A19" t="inlineStr">
        <is>
          <t xml:space="preserve">  Year 9</t>
        </is>
      </c>
      <c r="B19" s="6">
        <f>DCF!K34</f>
        <v/>
      </c>
      <c r="C19" s="6">
        <f>DCF!K34</f>
        <v/>
      </c>
      <c r="D19" s="6">
        <f>DCF!K34</f>
        <v/>
      </c>
      <c r="E19" s="6">
        <f>DCF!K34</f>
        <v/>
      </c>
      <c r="F19" s="6">
        <f>DCF!K34</f>
        <v/>
      </c>
      <c r="G19" s="6">
        <f>DCF!K34</f>
        <v/>
      </c>
    </row>
    <row r="20">
      <c r="A20" t="inlineStr">
        <is>
          <t xml:space="preserve">  Year 10</t>
        </is>
      </c>
      <c r="B20" s="6">
        <f>DCF!L23+B8</f>
        <v/>
      </c>
      <c r="C20" s="6">
        <f>DCF!L23+C8</f>
        <v/>
      </c>
      <c r="D20" s="6">
        <f>DCF!L23+D8</f>
        <v/>
      </c>
      <c r="E20" s="6">
        <f>DCF!L23+E8</f>
        <v/>
      </c>
      <c r="F20" s="6">
        <f>DCF!L23+F8</f>
        <v/>
      </c>
      <c r="G20" s="6">
        <f>DCF!L23+G8</f>
        <v/>
      </c>
    </row>
    <row r="21">
      <c r="A21" s="17" t="inlineStr">
        <is>
          <t>LEVERED IRR</t>
        </is>
      </c>
      <c r="B21" s="31">
        <f>IFERROR(IRR(B10:B20),"n/a")</f>
        <v/>
      </c>
      <c r="C21" s="31">
        <f>IFERROR(IRR(C10:C20),"n/a")</f>
        <v/>
      </c>
      <c r="D21" s="31">
        <f>IFERROR(IRR(D10:D20),"n/a")</f>
        <v/>
      </c>
      <c r="E21" s="31">
        <f>IFERROR(IRR(E10:E20),"n/a")</f>
        <v/>
      </c>
      <c r="F21" s="31">
        <f>IFERROR(IRR(F10:F20),"n/a")</f>
        <v/>
      </c>
      <c r="G21" s="31">
        <f>IFERROR(IRR(G10:G20),"n/a")</f>
        <v/>
      </c>
    </row>
    <row r="24">
      <c r="A24" s="30" t="inlineStr">
        <is>
          <t>LEVERED IRR vs RENT GROWTH</t>
        </is>
      </c>
    </row>
    <row r="25">
      <c r="A25" s="21" t="inlineStr">
        <is>
          <t>Rent growth</t>
        </is>
      </c>
      <c r="B25" s="21" t="inlineStr">
        <is>
          <t>Case 1</t>
        </is>
      </c>
      <c r="C25" s="21" t="inlineStr">
        <is>
          <t>Case 2</t>
        </is>
      </c>
      <c r="D25" s="21" t="inlineStr">
        <is>
          <t>Case 3</t>
        </is>
      </c>
      <c r="E25" s="21" t="inlineStr">
        <is>
          <t>Case 4</t>
        </is>
      </c>
      <c r="F25" s="21" t="inlineStr">
        <is>
          <t>Case 5</t>
        </is>
      </c>
      <c r="G25" s="21" t="inlineStr">
        <is>
          <t>Case 6</t>
        </is>
      </c>
    </row>
    <row r="26">
      <c r="A26" s="7" t="inlineStr">
        <is>
          <t>Rent growth</t>
        </is>
      </c>
      <c r="B26" s="20" t="n">
        <v>0</v>
      </c>
      <c r="C26" s="20" t="n">
        <v>0.01</v>
      </c>
      <c r="D26" s="20" t="n">
        <v>0.02</v>
      </c>
      <c r="E26" s="20" t="n">
        <v>0.03</v>
      </c>
      <c r="F26" s="20" t="n">
        <v>0.04</v>
      </c>
      <c r="G26" s="20" t="n">
        <v>0.05</v>
      </c>
    </row>
    <row r="27">
      <c r="A27" t="inlineStr">
        <is>
          <t>Gross exit value</t>
        </is>
      </c>
      <c r="B27" s="6">
        <f>(DCF!C15*(1+B$26)^10+DCF!C16*(1+Assumptions!$B$50)^10)/Assumptions!$B$51</f>
        <v/>
      </c>
      <c r="C27" s="6">
        <f>(DCF!C15*(1+C$26)^10+DCF!C16*(1+Assumptions!$B$50)^10)/Assumptions!$B$51</f>
        <v/>
      </c>
      <c r="D27" s="6">
        <f>(DCF!C15*(1+D$26)^10+DCF!C16*(1+Assumptions!$B$50)^10)/Assumptions!$B$51</f>
        <v/>
      </c>
      <c r="E27" s="6">
        <f>(DCF!C15*(1+E$26)^10+DCF!C16*(1+Assumptions!$B$50)^10)/Assumptions!$B$51</f>
        <v/>
      </c>
      <c r="F27" s="6">
        <f>(DCF!C15*(1+F$26)^10+DCF!C16*(1+Assumptions!$B$50)^10)/Assumptions!$B$51</f>
        <v/>
      </c>
      <c r="G27" s="6">
        <f>(DCF!C15*(1+G$26)^10+DCF!C16*(1+Assumptions!$B$50)^10)/Assumptions!$B$51</f>
        <v/>
      </c>
    </row>
    <row r="28">
      <c r="A28" t="inlineStr">
        <is>
          <t>Net proceeds to equity</t>
        </is>
      </c>
      <c r="B28" s="6">
        <f>B27*(1-Assumptions!$B$19-Assumptions!$B$39)-Debt!$D$22</f>
        <v/>
      </c>
      <c r="C28" s="6">
        <f>C27*(1-Assumptions!$B$19-Assumptions!$B$39)-Debt!$D$22</f>
        <v/>
      </c>
      <c r="D28" s="6">
        <f>D27*(1-Assumptions!$B$19-Assumptions!$B$39)-Debt!$D$22</f>
        <v/>
      </c>
      <c r="E28" s="6">
        <f>E27*(1-Assumptions!$B$19-Assumptions!$B$39)-Debt!$D$22</f>
        <v/>
      </c>
      <c r="F28" s="6">
        <f>F27*(1-Assumptions!$B$19-Assumptions!$B$39)-Debt!$D$22</f>
        <v/>
      </c>
      <c r="G28" s="6">
        <f>G27*(1-Assumptions!$B$19-Assumptions!$B$39)-Debt!$D$22</f>
        <v/>
      </c>
    </row>
    <row r="29">
      <c r="A29" s="7" t="inlineStr">
        <is>
          <t>Levered cash flow by year</t>
        </is>
      </c>
    </row>
    <row r="30">
      <c r="A30" t="inlineStr">
        <is>
          <t xml:space="preserve">  Year 0</t>
        </is>
      </c>
      <c r="B30" s="6">
        <f>DCF!B34</f>
        <v/>
      </c>
      <c r="C30" s="6">
        <f>DCF!B34</f>
        <v/>
      </c>
      <c r="D30" s="6">
        <f>DCF!B34</f>
        <v/>
      </c>
      <c r="E30" s="6">
        <f>DCF!B34</f>
        <v/>
      </c>
      <c r="F30" s="6">
        <f>DCF!B34</f>
        <v/>
      </c>
      <c r="G30" s="6">
        <f>DCF!B34</f>
        <v/>
      </c>
    </row>
    <row r="31">
      <c r="A31" t="inlineStr">
        <is>
          <t xml:space="preserve">  Year 1</t>
        </is>
      </c>
      <c r="B31" s="6">
        <f>DCF!C34</f>
        <v/>
      </c>
      <c r="C31" s="6">
        <f>DCF!C34</f>
        <v/>
      </c>
      <c r="D31" s="6">
        <f>DCF!C34</f>
        <v/>
      </c>
      <c r="E31" s="6">
        <f>DCF!C34</f>
        <v/>
      </c>
      <c r="F31" s="6">
        <f>DCF!C34</f>
        <v/>
      </c>
      <c r="G31" s="6">
        <f>DCF!C34</f>
        <v/>
      </c>
    </row>
    <row r="32">
      <c r="A32" t="inlineStr">
        <is>
          <t xml:space="preserve">  Year 2</t>
        </is>
      </c>
      <c r="B32" s="6">
        <f>DCF!D34</f>
        <v/>
      </c>
      <c r="C32" s="6">
        <f>DCF!D34</f>
        <v/>
      </c>
      <c r="D32" s="6">
        <f>DCF!D34</f>
        <v/>
      </c>
      <c r="E32" s="6">
        <f>DCF!D34</f>
        <v/>
      </c>
      <c r="F32" s="6">
        <f>DCF!D34</f>
        <v/>
      </c>
      <c r="G32" s="6">
        <f>DCF!D34</f>
        <v/>
      </c>
    </row>
    <row r="33">
      <c r="A33" t="inlineStr">
        <is>
          <t xml:space="preserve">  Year 3</t>
        </is>
      </c>
      <c r="B33" s="6">
        <f>DCF!E34</f>
        <v/>
      </c>
      <c r="C33" s="6">
        <f>DCF!E34</f>
        <v/>
      </c>
      <c r="D33" s="6">
        <f>DCF!E34</f>
        <v/>
      </c>
      <c r="E33" s="6">
        <f>DCF!E34</f>
        <v/>
      </c>
      <c r="F33" s="6">
        <f>DCF!E34</f>
        <v/>
      </c>
      <c r="G33" s="6">
        <f>DCF!E34</f>
        <v/>
      </c>
    </row>
    <row r="34">
      <c r="A34" t="inlineStr">
        <is>
          <t xml:space="preserve">  Year 4</t>
        </is>
      </c>
      <c r="B34" s="6">
        <f>DCF!F34</f>
        <v/>
      </c>
      <c r="C34" s="6">
        <f>DCF!F34</f>
        <v/>
      </c>
      <c r="D34" s="6">
        <f>DCF!F34</f>
        <v/>
      </c>
      <c r="E34" s="6">
        <f>DCF!F34</f>
        <v/>
      </c>
      <c r="F34" s="6">
        <f>DCF!F34</f>
        <v/>
      </c>
      <c r="G34" s="6">
        <f>DCF!F34</f>
        <v/>
      </c>
    </row>
    <row r="35">
      <c r="A35" t="inlineStr">
        <is>
          <t xml:space="preserve">  Year 5</t>
        </is>
      </c>
      <c r="B35" s="6">
        <f>DCF!G34</f>
        <v/>
      </c>
      <c r="C35" s="6">
        <f>DCF!G34</f>
        <v/>
      </c>
      <c r="D35" s="6">
        <f>DCF!G34</f>
        <v/>
      </c>
      <c r="E35" s="6">
        <f>DCF!G34</f>
        <v/>
      </c>
      <c r="F35" s="6">
        <f>DCF!G34</f>
        <v/>
      </c>
      <c r="G35" s="6">
        <f>DCF!G34</f>
        <v/>
      </c>
    </row>
    <row r="36">
      <c r="A36" t="inlineStr">
        <is>
          <t xml:space="preserve">  Year 6</t>
        </is>
      </c>
      <c r="B36" s="6">
        <f>DCF!H34</f>
        <v/>
      </c>
      <c r="C36" s="6">
        <f>DCF!H34</f>
        <v/>
      </c>
      <c r="D36" s="6">
        <f>DCF!H34</f>
        <v/>
      </c>
      <c r="E36" s="6">
        <f>DCF!H34</f>
        <v/>
      </c>
      <c r="F36" s="6">
        <f>DCF!H34</f>
        <v/>
      </c>
      <c r="G36" s="6">
        <f>DCF!H34</f>
        <v/>
      </c>
    </row>
    <row r="37">
      <c r="A37" t="inlineStr">
        <is>
          <t xml:space="preserve">  Year 7</t>
        </is>
      </c>
      <c r="B37" s="6">
        <f>DCF!I34</f>
        <v/>
      </c>
      <c r="C37" s="6">
        <f>DCF!I34</f>
        <v/>
      </c>
      <c r="D37" s="6">
        <f>DCF!I34</f>
        <v/>
      </c>
      <c r="E37" s="6">
        <f>DCF!I34</f>
        <v/>
      </c>
      <c r="F37" s="6">
        <f>DCF!I34</f>
        <v/>
      </c>
      <c r="G37" s="6">
        <f>DCF!I34</f>
        <v/>
      </c>
    </row>
    <row r="38">
      <c r="A38" t="inlineStr">
        <is>
          <t xml:space="preserve">  Year 8</t>
        </is>
      </c>
      <c r="B38" s="6">
        <f>DCF!J34</f>
        <v/>
      </c>
      <c r="C38" s="6">
        <f>DCF!J34</f>
        <v/>
      </c>
      <c r="D38" s="6">
        <f>DCF!J34</f>
        <v/>
      </c>
      <c r="E38" s="6">
        <f>DCF!J34</f>
        <v/>
      </c>
      <c r="F38" s="6">
        <f>DCF!J34</f>
        <v/>
      </c>
      <c r="G38" s="6">
        <f>DCF!J34</f>
        <v/>
      </c>
    </row>
    <row r="39">
      <c r="A39" t="inlineStr">
        <is>
          <t xml:space="preserve">  Year 9</t>
        </is>
      </c>
      <c r="B39" s="6">
        <f>DCF!K34</f>
        <v/>
      </c>
      <c r="C39" s="6">
        <f>DCF!K34</f>
        <v/>
      </c>
      <c r="D39" s="6">
        <f>DCF!K34</f>
        <v/>
      </c>
      <c r="E39" s="6">
        <f>DCF!K34</f>
        <v/>
      </c>
      <c r="F39" s="6">
        <f>DCF!K34</f>
        <v/>
      </c>
      <c r="G39" s="6">
        <f>DCF!K34</f>
        <v/>
      </c>
    </row>
    <row r="40">
      <c r="A40" t="inlineStr">
        <is>
          <t xml:space="preserve">  Year 10</t>
        </is>
      </c>
      <c r="B40" s="6">
        <f>DCF!L23+B28</f>
        <v/>
      </c>
      <c r="C40" s="6">
        <f>DCF!L23+C28</f>
        <v/>
      </c>
      <c r="D40" s="6">
        <f>DCF!L23+D28</f>
        <v/>
      </c>
      <c r="E40" s="6">
        <f>DCF!L23+E28</f>
        <v/>
      </c>
      <c r="F40" s="6">
        <f>DCF!L23+F28</f>
        <v/>
      </c>
      <c r="G40" s="6">
        <f>DCF!L23+G28</f>
        <v/>
      </c>
    </row>
    <row r="41">
      <c r="A41" s="17" t="inlineStr">
        <is>
          <t>LEVERED IRR</t>
        </is>
      </c>
      <c r="B41" s="31">
        <f>IFERROR(IRR(B30:B40),"n/a")</f>
        <v/>
      </c>
      <c r="C41" s="31">
        <f>IFERROR(IRR(C30:C40),"n/a")</f>
        <v/>
      </c>
      <c r="D41" s="31">
        <f>IFERROR(IRR(D30:D40),"n/a")</f>
        <v/>
      </c>
      <c r="E41" s="31">
        <f>IFERROR(IRR(E30:E40),"n/a")</f>
        <v/>
      </c>
      <c r="F41" s="31">
        <f>IFERROR(IRR(F30:F40),"n/a")</f>
        <v/>
      </c>
      <c r="G41" s="31">
        <f>IFERROR(IRR(G30:G40),"n/a")</f>
        <v/>
      </c>
    </row>
    <row r="44">
      <c r="A44" s="3" t="inlineStr">
        <is>
          <t>WHY NOT A NATIVE EXCEL DATA TABLE: a What-If data table stores its results as an array Excel refreshes on recalculation, and openpyxl cannot author one. These grids instead rebuild the affected chain in live formulas over a visible cash-flow series, which recomputes from the Assumptions tab like every other cell and is auditable in a way a data table is not.</t>
        </is>
      </c>
    </row>
  </sheetData>
  <printOptions horizontalCentered="1"/>
  <pageMargins left="0.75" right="0.75" top="1" bottom="1" header="0.5" footer="0.5"/>
  <pageSetup orientation="landscape" fitToHeight="0" fitToWidth="1"/>
  <headerFooter>
    <oddHeader>&amp;L1813 Linden Ave, Memphis, TN 38104&amp;RField Property Partners</oddHeader>
    <oddFooter>&amp;L&amp;A&amp;RPage &amp;P of &amp;N</oddFooter>
    <evenHeader/>
    <evenFooter/>
    <firstHeader/>
    <firstFooter/>
  </headerFooter>
  <legacyDrawing xmlns:r="http://schemas.openxmlformats.org/officeDocument/2006/relationships" r:id="anysvml"/>
</worksheet>
</file>

<file path=xl/worksheets/sheet2.xml><?xml version="1.0" encoding="utf-8"?>
<worksheet xmlns="http://schemas.openxmlformats.org/spreadsheetml/2006/main">
  <sheetPr>
    <outlinePr summaryBelow="1" summaryRight="1"/>
    <pageSetUpPr fitToPage="1"/>
  </sheetPr>
  <dimension ref="A1:C71"/>
  <sheetViews>
    <sheetView showGridLines="0" workbookViewId="0">
      <pane ySplit="5" topLeftCell="A6" activePane="bottomLeft" state="frozen"/>
      <selection pane="bottomLeft" activeCell="A1" sqref="A1"/>
    </sheetView>
  </sheetViews>
  <sheetFormatPr baseColWidth="8" defaultRowHeight="15"/>
  <cols>
    <col width="36" customWidth="1" min="1" max="1"/>
    <col width="15" customWidth="1" min="2" max="2"/>
    <col width="60" customWidth="1" min="3" max="3"/>
  </cols>
  <sheetData>
    <row r="1">
      <c r="A1" s="1" t="inlineStr">
        <is>
          <t>ASSUMPTIONS</t>
        </is>
      </c>
    </row>
    <row r="2">
      <c r="A2" s="2" t="inlineStr">
        <is>
          <t>1813 Linden Ave, Memphis, TN 38104</t>
        </is>
      </c>
      <c r="C2" s="3" t="inlineStr">
        <is>
          <t>BLUE = hard input, change these. BLACK = formula, do not type over. Cells with a red corner carry a note on basis.</t>
        </is>
      </c>
    </row>
    <row r="4">
      <c r="A4" s="4" t="inlineStr">
        <is>
          <t>VALUATION</t>
        </is>
      </c>
      <c r="B4" s="5" t="n"/>
      <c r="C4" s="5" t="n"/>
    </row>
    <row r="5">
      <c r="A5" s="13" t="inlineStr">
        <is>
          <t>Driver</t>
        </is>
      </c>
      <c r="B5" s="13" t="inlineStr">
        <is>
          <t>Value</t>
        </is>
      </c>
      <c r="C5" s="13" t="inlineStr">
        <is>
          <t>Basis</t>
        </is>
      </c>
    </row>
    <row r="6">
      <c r="A6" t="inlineStr">
        <is>
          <t>AS-IS value</t>
        </is>
      </c>
      <c r="B6" s="14" t="n">
        <v>307063.74</v>
      </c>
      <c r="C6" s="3" t="inlineStr">
        <is>
          <t>Comps: median $/sqft x subject sqft. Unrenovated.</t>
        </is>
      </c>
    </row>
    <row r="7">
      <c r="A7" t="inlineStr">
        <is>
          <t>Repair budget</t>
        </is>
      </c>
      <c r="B7" s="14" t="n">
        <v>80077.53999999999</v>
      </c>
      <c r="C7" s="3" t="inlineStr">
        <is>
          <t>Tiered $/sqft estimate, or your own figure.</t>
        </is>
      </c>
    </row>
    <row r="8">
      <c r="A8" t="inlineStr">
        <is>
          <t>Renovation uplift multiple</t>
        </is>
      </c>
      <c r="B8" s="15" t="n">
        <v>1.55</v>
      </c>
      <c r="C8" s="3" t="inlineStr">
        <is>
          <t>Market value created per $1 of repair spend.</t>
        </is>
      </c>
    </row>
    <row r="9">
      <c r="A9" t="inlineStr">
        <is>
          <t>Ceiling $/sqft (comp Q3)</t>
        </is>
      </c>
      <c r="B9" s="16" t="n">
        <v>203.7375</v>
      </c>
      <c r="C9" s="3" t="inlineStr">
        <is>
          <t>Upper-quartile comp $/sqft. Caps ARV.</t>
        </is>
      </c>
    </row>
    <row r="10">
      <c r="A10" t="inlineStr">
        <is>
          <t>Subject square footage</t>
        </is>
      </c>
      <c r="B10" s="14" t="n">
        <v>1884</v>
      </c>
      <c r="C10" s="3" t="inlineStr">
        <is>
          <t>Drives the repair estimate and the ceiling.</t>
        </is>
      </c>
    </row>
    <row r="11">
      <c r="A11" t="inlineStr">
        <is>
          <t>Max ARV as multiple of AS-IS</t>
        </is>
      </c>
      <c r="B11" s="15" t="n">
        <v>2</v>
      </c>
      <c r="C11" s="3" t="inlineStr">
        <is>
          <t>Absolute sanity cap.</t>
        </is>
      </c>
    </row>
    <row r="12">
      <c r="A12" s="17" t="inlineStr">
        <is>
          <t>ARV (after-repair value)</t>
        </is>
      </c>
      <c r="B12" s="18">
        <f>MIN(B6+B7*B8,IF(B9*B10=0,B6+B7*B8,B9*B10),IF(B11=0,B6+B7*B8,B6*B11))</f>
        <v/>
      </c>
      <c r="C12" s="3" t="inlineStr">
        <is>
          <t>AS-IS + uplift, capped by ceiling and ratio cap.</t>
        </is>
      </c>
    </row>
    <row r="14">
      <c r="A14" s="4" t="inlineStr">
        <is>
          <t>DEAL TERMS</t>
        </is>
      </c>
      <c r="B14" s="5" t="n"/>
      <c r="C14" s="5" t="n"/>
    </row>
    <row r="15">
      <c r="A15" t="inlineStr">
        <is>
          <t>MAO margin (% of ARV)</t>
        </is>
      </c>
      <c r="B15" s="19" t="n">
        <v>0.8</v>
      </c>
      <c r="C15" s="3" t="inlineStr">
        <is>
          <t>Rental / turnkey buyer — a property of the BUYER.</t>
        </is>
      </c>
    </row>
    <row r="16">
      <c r="A16" t="inlineStr">
        <is>
          <t>Assignment fee</t>
        </is>
      </c>
      <c r="B16" s="14" t="n">
        <v>10000</v>
      </c>
    </row>
    <row r="17">
      <c r="A17" t="inlineStr">
        <is>
          <t>Purchase price</t>
        </is>
      </c>
      <c r="B17" s="14" t="n">
        <v>191224.1</v>
      </c>
      <c r="C17" s="3" t="inlineStr">
        <is>
          <t>ASSUMED = MAO. No contract yet.</t>
        </is>
      </c>
    </row>
    <row r="18">
      <c r="A18" t="inlineStr">
        <is>
          <t>Buy-side closing costs</t>
        </is>
      </c>
      <c r="B18" s="19" t="n">
        <v>0.02</v>
      </c>
      <c r="C18" s="3" t="inlineStr">
        <is>
          <t>% of purchase price.</t>
        </is>
      </c>
    </row>
    <row r="19">
      <c r="A19" t="inlineStr">
        <is>
          <t>Sell-side closing costs</t>
        </is>
      </c>
      <c r="B19" s="19" t="n">
        <v>0.08</v>
      </c>
      <c r="C19" s="3" t="inlineStr">
        <is>
          <t>% of sale price. Commission + seller-paid.</t>
        </is>
      </c>
    </row>
    <row r="20">
      <c r="A20" t="inlineStr">
        <is>
          <t>Monthly holding cost</t>
        </is>
      </c>
      <c r="B20" s="20" t="n">
        <v>0.01</v>
      </c>
      <c r="C20" s="3" t="inlineStr">
        <is>
          <t>% of ARV per month. Wholesale layer only.</t>
        </is>
      </c>
    </row>
    <row r="21">
      <c r="A21" t="inlineStr">
        <is>
          <t>Hold period (months, wholesale)</t>
        </is>
      </c>
      <c r="B21" s="14" t="n">
        <v>5</v>
      </c>
      <c r="C21" s="3" t="inlineStr">
        <is>
          <t>Contract to assignment or resale.</t>
        </is>
      </c>
    </row>
    <row r="23">
      <c r="A23" s="4" t="inlineStr">
        <is>
          <t>OPERATING — INCOME</t>
        </is>
      </c>
      <c r="B23" s="5" t="n"/>
      <c r="C23" s="5" t="n"/>
    </row>
    <row r="24">
      <c r="A24" t="inlineStr">
        <is>
          <t>Gross potential rent (monthly)</t>
        </is>
      </c>
      <c r="B24" s="6">
        <f>'Rent Roll'!G6</f>
        <v/>
      </c>
      <c r="C24" s="3" t="inlineStr">
        <is>
          <t>At market, from the rent roll. Never typed here.</t>
        </is>
      </c>
    </row>
    <row r="25">
      <c r="A25" t="inlineStr">
        <is>
          <t>Loss to lease</t>
        </is>
      </c>
      <c r="B25" s="19" t="n">
        <v>0</v>
      </c>
      <c r="C25" s="3" t="inlineStr">
        <is>
          <t>% of gross potential rent.</t>
        </is>
      </c>
    </row>
    <row r="26">
      <c r="A26" t="inlineStr">
        <is>
          <t>Other income (monthly)</t>
        </is>
      </c>
      <c r="B26" s="14" t="n">
        <v>0</v>
      </c>
      <c r="C26" s="3" t="inlineStr">
        <is>
          <t>Laundry, parking, fees.</t>
        </is>
      </c>
    </row>
    <row r="27">
      <c r="A27" t="inlineStr">
        <is>
          <t>Vacancy</t>
        </is>
      </c>
      <c r="B27" s="19" t="n">
        <v>0.08</v>
      </c>
      <c r="C27" s="3" t="inlineStr">
        <is>
          <t>% of potential gross income.</t>
        </is>
      </c>
    </row>
    <row r="28">
      <c r="A28" t="inlineStr">
        <is>
          <t>Credit loss / bad debt</t>
        </is>
      </c>
      <c r="B28" s="19" t="n">
        <v>0</v>
      </c>
      <c r="C28" s="3" t="inlineStr">
        <is>
          <t>% of potential gross income.</t>
        </is>
      </c>
    </row>
    <row r="29">
      <c r="A29" t="inlineStr">
        <is>
          <t>Concessions</t>
        </is>
      </c>
      <c r="B29" s="19" t="n">
        <v>0</v>
      </c>
      <c r="C29" s="3" t="inlineStr">
        <is>
          <t>% of potential gross income.</t>
        </is>
      </c>
    </row>
    <row r="31">
      <c r="A31" s="4" t="inlineStr">
        <is>
          <t>OPERATING — EXPENSES</t>
        </is>
      </c>
      <c r="B31" s="5" t="n"/>
      <c r="C31" s="5" t="n"/>
    </row>
    <row r="32">
      <c r="A32" t="inlineStr">
        <is>
          <t>Operating expenses</t>
        </is>
      </c>
      <c r="B32" s="19" t="n">
        <v>0.4</v>
      </c>
      <c r="C32" s="3" t="inlineStr">
        <is>
          <t>% of EGI. Taxes, insurance, R&amp;M, management.</t>
        </is>
      </c>
    </row>
    <row r="33">
      <c r="A33" t="inlineStr">
        <is>
          <t>of which: property management</t>
        </is>
      </c>
      <c r="B33" s="19" t="n">
        <v>0.1</v>
      </c>
      <c r="C33" s="3" t="inlineStr">
        <is>
          <t>Memo — inside the opex ratio. Dollar amount below.</t>
        </is>
      </c>
    </row>
    <row r="34">
      <c r="A34" t="inlineStr">
        <is>
          <t xml:space="preserve">  property management, $ / year</t>
        </is>
      </c>
      <c r="B34" s="6">
        <f>DCF!C15*B33</f>
        <v/>
      </c>
      <c r="C34" s="3" t="inlineStr">
        <is>
          <t>Memo only. Not deducted a second time.</t>
        </is>
      </c>
    </row>
    <row r="35">
      <c r="A35" t="inlineStr">
        <is>
          <t>CapEx / replacement reserve</t>
        </is>
      </c>
      <c r="B35" s="19" t="n">
        <v>0.05</v>
      </c>
      <c r="C35" s="3" t="inlineStr">
        <is>
          <t>% of EGI. BELOW the NOI line.</t>
        </is>
      </c>
    </row>
    <row r="37">
      <c r="A37" s="4" t="inlineStr">
        <is>
          <t>FEES (institutional / sponsored deals)</t>
        </is>
      </c>
      <c r="B37" s="5" t="n"/>
      <c r="C37" s="5" t="n"/>
    </row>
    <row r="38">
      <c r="A38" t="inlineStr">
        <is>
          <t>Acquisition fee</t>
        </is>
      </c>
      <c r="B38" s="19" t="n">
        <v>0</v>
      </c>
      <c r="C38" s="3" t="inlineStr">
        <is>
          <t>% of purchase price. A USE of funds.</t>
        </is>
      </c>
    </row>
    <row r="39">
      <c r="A39" t="inlineStr">
        <is>
          <t>Disposition fee</t>
        </is>
      </c>
      <c r="B39" s="19" t="n">
        <v>0</v>
      </c>
      <c r="C39" s="3" t="inlineStr">
        <is>
          <t>% of sale price. Added to selling costs at exit.</t>
        </is>
      </c>
    </row>
    <row r="40">
      <c r="A40" t="inlineStr">
        <is>
          <t>Asset management fee</t>
        </is>
      </c>
      <c r="B40" s="19" t="n">
        <v>0</v>
      </c>
      <c r="C40" s="3" t="inlineStr">
        <is>
          <t>% of EGI. BELOW the NOI line.</t>
        </is>
      </c>
    </row>
    <row r="41">
      <c r="A41" s="4" t="inlineStr">
        <is>
          <t>DEBT</t>
        </is>
      </c>
      <c r="B41" s="5" t="n"/>
      <c r="C41" s="5" t="n"/>
    </row>
    <row r="42">
      <c r="A42" t="inlineStr">
        <is>
          <t>Loan-to-value / loan-to-cost</t>
        </is>
      </c>
      <c r="B42" s="19" t="n">
        <v>0.75</v>
      </c>
      <c r="C42" s="3" t="inlineStr">
        <is>
          <t>Applied to purchase price.</t>
        </is>
      </c>
    </row>
    <row r="43">
      <c r="A43" t="inlineStr">
        <is>
          <t>Interest rate</t>
        </is>
      </c>
      <c r="B43" s="20" t="n">
        <v>0.075</v>
      </c>
      <c r="C43" s="3" t="inlineStr">
        <is>
          <t>Annual nominal.</t>
        </is>
      </c>
    </row>
    <row r="44">
      <c r="A44" t="inlineStr">
        <is>
          <t>Amortisation (years)</t>
        </is>
      </c>
      <c r="B44" s="14" t="n">
        <v>30</v>
      </c>
      <c r="C44" s="3" t="inlineStr">
        <is>
          <t>Longer than the hold — loan does not fully amortise.</t>
        </is>
      </c>
    </row>
    <row r="46">
      <c r="A46" s="4" t="inlineStr">
        <is>
          <t>HOLD &amp; EXIT</t>
        </is>
      </c>
      <c r="B46" s="5" t="n"/>
      <c r="C46" s="5" t="n"/>
    </row>
    <row r="47">
      <c r="A47" t="inlineStr">
        <is>
          <t>Hold period (years)</t>
        </is>
      </c>
      <c r="B47" s="6">
        <f>COUNT(Debt!A13:A22)</f>
        <v/>
      </c>
      <c r="C47" s="3" t="inlineStr">
        <is>
          <t>Counted from the debt schedule. Not an input.</t>
        </is>
      </c>
    </row>
    <row r="48">
      <c r="A48" t="inlineStr">
        <is>
          <t>Discount rate</t>
        </is>
      </c>
      <c r="B48" s="20" t="n">
        <v>0.12</v>
      </c>
      <c r="C48" s="3" t="inlineStr">
        <is>
          <t>Required return. NPV is taken at this rate.</t>
        </is>
      </c>
    </row>
    <row r="49">
      <c r="A49" t="inlineStr">
        <is>
          <t>Rent growth (annual)</t>
        </is>
      </c>
      <c r="B49" s="20" t="n">
        <v>0.03</v>
      </c>
    </row>
    <row r="50">
      <c r="A50" t="inlineStr">
        <is>
          <t>Expense growth (annual)</t>
        </is>
      </c>
      <c r="B50" s="20" t="n">
        <v>0.03</v>
      </c>
    </row>
    <row r="51">
      <c r="A51" t="inlineStr">
        <is>
          <t>Exit capitalisation rate</t>
        </is>
      </c>
      <c r="B51" s="20" t="n">
        <v>0.075</v>
      </c>
      <c r="C51" s="3" t="inlineStr">
        <is>
          <t>Applied to FORWARD (N+1) NOI.</t>
        </is>
      </c>
    </row>
    <row r="53">
      <c r="A53" s="4" t="inlineStr">
        <is>
          <t>CAPITALISATION</t>
        </is>
      </c>
      <c r="B53" s="5" t="n"/>
      <c r="C53" s="5" t="n"/>
    </row>
    <row r="54">
      <c r="A54" t="inlineStr">
        <is>
          <t>Working capital / operating reserve</t>
        </is>
      </c>
      <c r="B54" s="14" t="n">
        <v>0</v>
      </c>
      <c r="C54" s="3" t="inlineStr">
        <is>
          <t>A USE of funds, funded at close.</t>
        </is>
      </c>
    </row>
    <row r="55">
      <c r="A55" t="inlineStr">
        <is>
          <t>Preferred equity</t>
        </is>
      </c>
      <c r="B55" s="14" t="n">
        <v>0</v>
      </c>
      <c r="C55" s="3" t="inlineStr">
        <is>
          <t>A SOURCE of funds, senior to common.</t>
        </is>
      </c>
    </row>
    <row r="57">
      <c r="A57" s="4" t="inlineStr">
        <is>
          <t>EQUITY WATERFALL (institutional / multi-investor only)</t>
        </is>
      </c>
      <c r="B57" s="5" t="n"/>
      <c r="C57" s="5" t="n"/>
    </row>
    <row r="58">
      <c r="A58" t="inlineStr">
        <is>
          <t>LP share of equity</t>
        </is>
      </c>
      <c r="B58" s="19" t="n">
        <v>0.9</v>
      </c>
    </row>
    <row r="59">
      <c r="A59" t="inlineStr">
        <is>
          <t>Preferred return (to LP)</t>
        </is>
      </c>
      <c r="B59" s="19" t="n">
        <v>0.08</v>
      </c>
    </row>
    <row r="60">
      <c r="A60" t="inlineStr">
        <is>
          <t>GP promote / carry</t>
        </is>
      </c>
      <c r="B60" s="19" t="n">
        <v>0.2</v>
      </c>
    </row>
    <row r="62">
      <c r="A62" s="4" t="inlineStr">
        <is>
          <t>RENT ROLL &amp; T-12 DOLLAR LINES (used when supplied)</t>
        </is>
      </c>
      <c r="B62" s="5" t="n"/>
      <c r="C62" s="5" t="n"/>
    </row>
    <row r="64">
      <c r="A64" t="inlineStr">
        <is>
          <t>Loss to lease ($ / year)</t>
        </is>
      </c>
      <c r="B64" s="14" t="n">
        <v>0</v>
      </c>
      <c r="C64" s="3" t="inlineStr">
        <is>
          <t>From the rent roll. Overrides the % driver.</t>
        </is>
      </c>
    </row>
    <row r="65">
      <c r="A65" t="inlineStr">
        <is>
          <t>Non-revenue units ($ / year)</t>
        </is>
      </c>
      <c r="B65" s="14" t="n">
        <v>0</v>
      </c>
      <c r="C65" s="3" t="inlineStr">
        <is>
          <t>Model, office, employee-occupied.</t>
        </is>
      </c>
    </row>
    <row r="66">
      <c r="A66" t="inlineStr">
        <is>
          <t>Total operating expenses ($ / year)</t>
        </is>
      </c>
      <c r="B66" s="14" t="n">
        <v>0</v>
      </c>
      <c r="C66" s="3" t="inlineStr">
        <is>
          <t>Itemised total. Overrides the % of EGI.</t>
        </is>
      </c>
    </row>
    <row r="67">
      <c r="A67" t="inlineStr">
        <is>
          <t>Replacement reserves ($ / unit / year)</t>
        </is>
      </c>
      <c r="B67" s="14" t="n">
        <v>0</v>
      </c>
      <c r="C67" s="3" t="inlineStr">
        <is>
          <t>Multifamily convention.</t>
        </is>
      </c>
    </row>
    <row r="68">
      <c r="A68" t="inlineStr">
        <is>
          <t>Unit count</t>
        </is>
      </c>
      <c r="B68" s="14" t="n">
        <v>0</v>
      </c>
      <c r="C68" s="3" t="inlineStr">
        <is>
          <t>Drives per-unit reserves and metrics.</t>
        </is>
      </c>
    </row>
    <row r="69">
      <c r="A69" t="inlineStr">
        <is>
          <t>Real estate taxes ($ / year)</t>
        </is>
      </c>
      <c r="B69" s="14" t="n">
        <v>0</v>
      </c>
      <c r="C69" s="3" t="inlineStr">
        <is>
          <t>MEASURED where a county bill was found.</t>
        </is>
      </c>
    </row>
    <row r="70">
      <c r="A70" t="inlineStr">
        <is>
          <t>Insurance ($ / year)</t>
        </is>
      </c>
      <c r="B70" s="14" t="n">
        <v>0</v>
      </c>
    </row>
    <row r="71">
      <c r="A71" t="inlineStr">
        <is>
          <t>Operating expenses ex-tax (% of EGI)</t>
        </is>
      </c>
      <c r="B71" s="19" t="n">
        <v>0.25</v>
      </c>
      <c r="C71" s="3" t="inlineStr">
        <is>
          <t>Used only when taxes are itemised above.</t>
        </is>
      </c>
    </row>
  </sheetData>
  <printOptions horizontalCentered="1"/>
  <pageMargins left="0.75" right="0.75" top="1" bottom="1" header="0.5" footer="0.5"/>
  <pageSetup orientation="landscape" fitToHeight="0" fitToWidth="1"/>
  <headerFooter>
    <oddHeader>&amp;L1813 Linden Ave, Memphis, TN 38104&amp;RField Property Partners</oddHeader>
    <oddFooter>&amp;L&amp;A&amp;RPage &amp;P of &amp;N</oddFooter>
    <evenHeader/>
    <evenFooter/>
    <firstHeader/>
    <firstFooter/>
  </headerFooter>
  <legacyDrawing xmlns:r="http://schemas.openxmlformats.org/officeDocument/2006/relationships" r:id="anysvml"/>
</worksheet>
</file>

<file path=xl/worksheets/sheet3.xml><?xml version="1.0" encoding="utf-8"?>
<worksheet xmlns="http://schemas.openxmlformats.org/spreadsheetml/2006/main">
  <sheetPr>
    <outlinePr summaryBelow="1" summaryRight="1"/>
    <pageSetUpPr fitToPage="1"/>
  </sheetPr>
  <dimension ref="A1:J11"/>
  <sheetViews>
    <sheetView showGridLines="0" workbookViewId="0">
      <selection activeCell="A1" sqref="A1"/>
    </sheetView>
  </sheetViews>
  <sheetFormatPr baseColWidth="8" defaultRowHeight="15"/>
  <cols>
    <col width="10" customWidth="1" min="1" max="1"/>
    <col width="26" customWidth="1" min="2" max="2"/>
    <col width="10" customWidth="1" min="3" max="3"/>
    <col width="8" customWidth="1" min="4" max="4"/>
    <col width="8" customWidth="1" min="5" max="5"/>
    <col width="10" customWidth="1" min="6" max="6"/>
    <col width="13" customWidth="1" min="7" max="7"/>
    <col width="13" customWidth="1" min="8" max="8"/>
    <col width="13" customWidth="1" min="9" max="9"/>
    <col width="12" customWidth="1" min="10" max="10"/>
  </cols>
  <sheetData>
    <row r="1">
      <c r="A1" s="1" t="inlineStr">
        <is>
          <t>RENT ROLL</t>
        </is>
      </c>
    </row>
    <row r="2">
      <c r="A2" s="2" t="inlineStr">
        <is>
          <t>1813 Linden Ave, Memphis, TN 38104</t>
        </is>
      </c>
      <c r="C2" s="3" t="inlineStr">
        <is>
          <t>Market rent drives the model. In-place rent is what is actually collected under a lease.</t>
        </is>
      </c>
    </row>
    <row r="4">
      <c r="A4" s="21" t="inlineStr">
        <is>
          <t>Unit</t>
        </is>
      </c>
      <c r="B4" s="21" t="inlineStr">
        <is>
          <t>Type</t>
        </is>
      </c>
      <c r="C4" s="21" t="inlineStr">
        <is>
          <t>Status</t>
        </is>
      </c>
      <c r="D4" s="21" t="inlineStr">
        <is>
          <t>Beds</t>
        </is>
      </c>
      <c r="E4" s="21" t="inlineStr">
        <is>
          <t>Baths</t>
        </is>
      </c>
      <c r="F4" s="21" t="inlineStr">
        <is>
          <t>SqFt</t>
        </is>
      </c>
      <c r="G4" s="21" t="inlineStr">
        <is>
          <t>Market rent</t>
        </is>
      </c>
      <c r="H4" s="21" t="inlineStr">
        <is>
          <t>In-place rent</t>
        </is>
      </c>
      <c r="I4" s="21" t="inlineStr">
        <is>
          <t>Loss to lease</t>
        </is>
      </c>
      <c r="J4" s="21" t="inlineStr">
        <is>
          <t>Rent / SqFt</t>
        </is>
      </c>
    </row>
    <row r="5">
      <c r="A5" s="22" t="inlineStr">
        <is>
          <t>1</t>
        </is>
      </c>
      <c r="B5" s="22" t="inlineStr">
        <is>
          <t>Single-family, whole house</t>
        </is>
      </c>
      <c r="C5" s="23">
        <f>IF(H5&gt;0,"Occupied","Vacant")</f>
        <v/>
      </c>
      <c r="D5" s="14" t="n"/>
      <c r="E5" s="14" t="n"/>
      <c r="F5" s="14" t="n">
        <v>1884</v>
      </c>
      <c r="G5" s="14" t="n">
        <v>2180</v>
      </c>
      <c r="H5" s="14" t="n"/>
      <c r="I5" s="6">
        <f>IF(C5="Occupied",MAX(0,G5-H5),0)</f>
        <v/>
      </c>
      <c r="J5" s="24">
        <f>IF(F5=0,0,G5/F5)</f>
        <v/>
      </c>
    </row>
    <row r="6">
      <c r="A6" s="7" t="inlineStr">
        <is>
          <t>TOTAL</t>
        </is>
      </c>
      <c r="B6" s="7" t="inlineStr">
        <is>
          <t>1 unit(s)</t>
        </is>
      </c>
      <c r="F6" s="18">
        <f>SUM(F5:F5)</f>
        <v/>
      </c>
      <c r="G6" s="18">
        <f>SUM(G5:G5)</f>
        <v/>
      </c>
      <c r="H6" s="18">
        <f>SUM(H5:H5)</f>
        <v/>
      </c>
      <c r="I6" s="18">
        <f>SUM(I5:I5)</f>
        <v/>
      </c>
    </row>
    <row r="8">
      <c r="A8" s="7" t="inlineStr">
        <is>
          <t>Annualised gross potential rent</t>
        </is>
      </c>
      <c r="B8" s="8">
        <f>G6*12</f>
        <v/>
      </c>
    </row>
    <row r="9">
      <c r="A9" t="inlineStr">
        <is>
          <t>Loss to lease implied by this rent roll</t>
        </is>
      </c>
      <c r="B9" s="9">
        <f>IF(G6=0,0,I6/G6)</f>
        <v/>
      </c>
      <c r="C9" s="3" t="inlineStr">
        <is>
          <t>Compare with the loss-to-lease driver on Assumptions.</t>
        </is>
      </c>
    </row>
    <row r="11">
      <c r="A11" s="3" t="inlineStr">
        <is>
          <t>In-place rent is 0 and status is Vacant, because the property is vacant and off-market. Every income figure downstream is therefore a PROJECTION from the market rent estimate, not collected income.</t>
        </is>
      </c>
    </row>
  </sheetData>
  <printOptions horizontalCentered="1"/>
  <pageMargins left="0.75" right="0.75" top="1" bottom="1" header="0.5" footer="0.5"/>
  <pageSetup orientation="landscape" fitToHeight="0" fitToWidth="1"/>
  <headerFooter>
    <oddHeader>&amp;L1813 Linden Ave, Memphis, TN 38104&amp;RField Property Partners</oddHeader>
    <oddFooter>&amp;L&amp;A&amp;RPage &amp;P of &amp;N</oddFooter>
    <evenHeader/>
    <evenFooter/>
    <firstHeader/>
    <firstFooter/>
  </headerFooter>
  <legacyDrawing xmlns:r="http://schemas.openxmlformats.org/officeDocument/2006/relationships" r:id="anysvml"/>
</worksheet>
</file>

<file path=xl/worksheets/sheet4.xml><?xml version="1.0" encoding="utf-8"?>
<worksheet xmlns="http://schemas.openxmlformats.org/spreadsheetml/2006/main">
  <sheetPr>
    <outlinePr summaryBelow="1" summaryRight="1"/>
    <pageSetUpPr fitToPage="1"/>
  </sheetPr>
  <dimension ref="A1:C21"/>
  <sheetViews>
    <sheetView showGridLines="0" workbookViewId="0">
      <selection activeCell="A1" sqref="A1"/>
    </sheetView>
  </sheetViews>
  <sheetFormatPr baseColWidth="8" defaultRowHeight="15"/>
  <cols>
    <col width="40" customWidth="1" min="1" max="1"/>
    <col width="16" customWidth="1" min="2" max="2"/>
    <col width="56" customWidth="1" min="3" max="3"/>
  </cols>
  <sheetData>
    <row r="1">
      <c r="A1" s="1" t="inlineStr">
        <is>
          <t>SOURCES &amp; USES</t>
        </is>
      </c>
    </row>
    <row r="2">
      <c r="A2" s="2" t="inlineStr">
        <is>
          <t>1813 Linden Ave, Memphis, TN 38104</t>
        </is>
      </c>
      <c r="C2" s="3" t="inlineStr">
        <is>
          <t>Sources must equal uses. Common equity is the plug.</t>
        </is>
      </c>
    </row>
    <row r="4">
      <c r="A4" s="4" t="inlineStr">
        <is>
          <t>USES OF FUNDS</t>
        </is>
      </c>
      <c r="B4" s="5" t="n"/>
      <c r="C4" s="5" t="n"/>
    </row>
    <row r="5">
      <c r="A5" s="13" t="inlineStr">
        <is>
          <t>Line</t>
        </is>
      </c>
      <c r="B5" s="13" t="inlineStr">
        <is>
          <t>Amount</t>
        </is>
      </c>
      <c r="C5" s="13" t="inlineStr">
        <is>
          <t>Basis</t>
        </is>
      </c>
    </row>
    <row r="6">
      <c r="A6" t="inlineStr">
        <is>
          <t>Purchase price</t>
        </is>
      </c>
      <c r="B6" s="6">
        <f>Assumptions!B17</f>
        <v/>
      </c>
    </row>
    <row r="7">
      <c r="A7" t="inlineStr">
        <is>
          <t>Buy-side closing costs</t>
        </is>
      </c>
      <c r="B7" s="6">
        <f>Assumptions!B17*Assumptions!B18</f>
        <v/>
      </c>
      <c r="C7" s="3" t="inlineStr">
        <is>
          <t>% of price.</t>
        </is>
      </c>
    </row>
    <row r="8">
      <c r="A8" t="inlineStr">
        <is>
          <t>Renovation / CapEx</t>
        </is>
      </c>
      <c r="B8" s="6">
        <f>Assumptions!B7</f>
        <v/>
      </c>
    </row>
    <row r="9">
      <c r="A9" t="inlineStr">
        <is>
          <t>Acquisition fee</t>
        </is>
      </c>
      <c r="B9" s="6">
        <f>Assumptions!B17*Assumptions!B38</f>
        <v/>
      </c>
      <c r="C9" s="3" t="inlineStr">
        <is>
          <t>% of price. 0 by default.</t>
        </is>
      </c>
    </row>
    <row r="10">
      <c r="A10" t="inlineStr">
        <is>
          <t>Working capital / operating reserve</t>
        </is>
      </c>
      <c r="B10" s="6">
        <f>Assumptions!B54</f>
        <v/>
      </c>
      <c r="C10" s="3" t="inlineStr">
        <is>
          <t>Cash funded at close.</t>
        </is>
      </c>
    </row>
    <row r="11">
      <c r="A11" s="17" t="inlineStr">
        <is>
          <t>TOTAL USES</t>
        </is>
      </c>
      <c r="B11" s="18">
        <f>SUM(B6:B10)</f>
        <v/>
      </c>
    </row>
    <row r="13">
      <c r="A13" s="4" t="inlineStr">
        <is>
          <t>SOURCES OF FUNDS</t>
        </is>
      </c>
      <c r="B13" s="5" t="n"/>
      <c r="C13" s="5" t="n"/>
    </row>
    <row r="14">
      <c r="A14" t="inlineStr">
        <is>
          <t>Senior debt</t>
        </is>
      </c>
      <c r="B14" s="6">
        <f>Assumptions!B17*Assumptions!B42</f>
        <v/>
      </c>
      <c r="C14" s="3" t="inlineStr">
        <is>
          <t>LTV x purchase price.</t>
        </is>
      </c>
    </row>
    <row r="15">
      <c r="A15" t="inlineStr">
        <is>
          <t>Preferred equity</t>
        </is>
      </c>
      <c r="B15" s="6">
        <f>Assumptions!B55</f>
        <v/>
      </c>
      <c r="C15" s="3" t="inlineStr">
        <is>
          <t>Senior to common. 0 by default.</t>
        </is>
      </c>
    </row>
    <row r="16">
      <c r="A16" s="7" t="inlineStr">
        <is>
          <t>Common equity (plug)</t>
        </is>
      </c>
      <c r="B16" s="8">
        <f>B11-B14-B15</f>
        <v/>
      </c>
      <c r="C16" s="3" t="inlineStr">
        <is>
          <t>Balances sources to uses.</t>
        </is>
      </c>
    </row>
    <row r="17">
      <c r="A17" s="17" t="inlineStr">
        <is>
          <t>TOTAL SOURCES</t>
        </is>
      </c>
      <c r="B17" s="18">
        <f>SUM(B14:B16)</f>
        <v/>
      </c>
    </row>
    <row r="19">
      <c r="A19" s="7" t="inlineStr">
        <is>
          <t>Check: sources less uses</t>
        </is>
      </c>
      <c r="B19" s="8">
        <f>B17-B11</f>
        <v/>
      </c>
      <c r="C19" s="3" t="inlineStr">
        <is>
          <t>Must be zero.</t>
        </is>
      </c>
    </row>
    <row r="20">
      <c r="A20" t="inlineStr">
        <is>
          <t>Debt % of total capitalisation</t>
        </is>
      </c>
      <c r="B20" s="9">
        <f>IF(B17=0,0,B14/B17)</f>
        <v/>
      </c>
    </row>
    <row r="21">
      <c r="A21" t="inlineStr">
        <is>
          <t>Equity % of total capitalisation</t>
        </is>
      </c>
      <c r="B21" s="9">
        <f>IF(B17=0,0,(B15+B16)/B17)</f>
        <v/>
      </c>
    </row>
  </sheetData>
  <printOptions horizontalCentered="1"/>
  <pageMargins left="0.75" right="0.75" top="1" bottom="1" header="0.5" footer="0.5"/>
  <pageSetup orientation="landscape" fitToHeight="0" fitToWidth="1"/>
  <headerFooter>
    <oddHeader>&amp;L1813 Linden Ave, Memphis, TN 38104&amp;RField Property Partners</oddHeader>
    <oddFooter>&amp;L&amp;A&amp;RPage &amp;P of &amp;N</oddFooter>
    <evenHeader/>
    <evenFooter/>
    <firstHeader/>
    <firstFooter/>
  </headerFooter>
  <legacyDrawing xmlns:r="http://schemas.openxmlformats.org/officeDocument/2006/relationships" r:id="anysvml"/>
</worksheet>
</file>

<file path=xl/worksheets/sheet5.xml><?xml version="1.0" encoding="utf-8"?>
<worksheet xmlns="http://schemas.openxmlformats.org/spreadsheetml/2006/main">
  <sheetPr>
    <outlinePr summaryBelow="1" summaryRight="1"/>
    <pageSetUpPr fitToPage="1"/>
  </sheetPr>
  <dimension ref="A1:O23"/>
  <sheetViews>
    <sheetView showGridLines="0" workbookViewId="0">
      <pane xSplit="1" ySplit="4" topLeftCell="B5" activePane="bottomRight" state="frozen"/>
      <selection pane="topRight"/>
      <selection pane="bottomLeft"/>
      <selection pane="bottomRight" activeCell="A1" sqref="A1"/>
    </sheetView>
  </sheetViews>
  <sheetFormatPr baseColWidth="8" defaultRowHeight="15"/>
  <cols>
    <col width="34" customWidth="1" min="1" max="1"/>
    <col width="11"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s>
  <sheetData>
    <row r="1">
      <c r="A1" s="1" t="inlineStr">
        <is>
          <t>T-12 — YEAR 1 BY MONTH</t>
        </is>
      </c>
    </row>
    <row r="2">
      <c r="A2" s="2" t="inlineStr">
        <is>
          <t>Forward twelve months. This property has no operating history.</t>
        </is>
      </c>
      <c r="C2" s="3" t="inlineStr">
        <is>
          <t>Standard chain: GPR -&gt; less loss to lease -&gt; plus other income -&gt; PGI -&gt; less vacancy / credit loss / concessions -&gt; EGI -&gt; less opex -&gt; NOI -&gt; less reserve and AM fee -&gt; cash flow.</t>
        </is>
      </c>
    </row>
    <row r="4">
      <c r="A4" s="21" t="inlineStr">
        <is>
          <t>Line item</t>
        </is>
      </c>
      <c r="B4" s="21" t="inlineStr">
        <is>
          <t>M1</t>
        </is>
      </c>
      <c r="C4" s="21" t="inlineStr">
        <is>
          <t>M2</t>
        </is>
      </c>
      <c r="D4" s="21" t="inlineStr">
        <is>
          <t>M3</t>
        </is>
      </c>
      <c r="E4" s="21" t="inlineStr">
        <is>
          <t>M4</t>
        </is>
      </c>
      <c r="F4" s="21" t="inlineStr">
        <is>
          <t>M5</t>
        </is>
      </c>
      <c r="G4" s="21" t="inlineStr">
        <is>
          <t>M6</t>
        </is>
      </c>
      <c r="H4" s="21" t="inlineStr">
        <is>
          <t>M7</t>
        </is>
      </c>
      <c r="I4" s="21" t="inlineStr">
        <is>
          <t>M8</t>
        </is>
      </c>
      <c r="J4" s="21" t="inlineStr">
        <is>
          <t>M9</t>
        </is>
      </c>
      <c r="K4" s="21" t="inlineStr">
        <is>
          <t>M10</t>
        </is>
      </c>
      <c r="L4" s="21" t="inlineStr">
        <is>
          <t>M11</t>
        </is>
      </c>
      <c r="M4" s="21" t="inlineStr">
        <is>
          <t>M12</t>
        </is>
      </c>
      <c r="N4" s="21" t="inlineStr">
        <is>
          <t>Year 1 total</t>
        </is>
      </c>
      <c r="O4" s="21" t="inlineStr">
        <is>
          <t>% of EGI</t>
        </is>
      </c>
    </row>
    <row r="5">
      <c r="A5" t="inlineStr">
        <is>
          <t>Gross potential rent</t>
        </is>
      </c>
      <c r="B5" s="6">
        <f>Assumptions!$B$24</f>
        <v/>
      </c>
      <c r="C5" s="6">
        <f>Assumptions!$B$24</f>
        <v/>
      </c>
      <c r="D5" s="6">
        <f>Assumptions!$B$24</f>
        <v/>
      </c>
      <c r="E5" s="6">
        <f>Assumptions!$B$24</f>
        <v/>
      </c>
      <c r="F5" s="6">
        <f>Assumptions!$B$24</f>
        <v/>
      </c>
      <c r="G5" s="6">
        <f>Assumptions!$B$24</f>
        <v/>
      </c>
      <c r="H5" s="6">
        <f>Assumptions!$B$24</f>
        <v/>
      </c>
      <c r="I5" s="6">
        <f>Assumptions!$B$24</f>
        <v/>
      </c>
      <c r="J5" s="6">
        <f>Assumptions!$B$24</f>
        <v/>
      </c>
      <c r="K5" s="6">
        <f>Assumptions!$B$24</f>
        <v/>
      </c>
      <c r="L5" s="6">
        <f>Assumptions!$B$24</f>
        <v/>
      </c>
      <c r="M5" s="6">
        <f>Assumptions!$B$24</f>
        <v/>
      </c>
      <c r="N5" s="8">
        <f>SUM(B5:M5)</f>
        <v/>
      </c>
      <c r="O5" s="9">
        <f>IF($N$14=0,0,N5/$N$14)</f>
        <v/>
      </c>
    </row>
    <row r="6">
      <c r="A6" t="inlineStr">
        <is>
          <t xml:space="preserve">  Less: loss to lease</t>
        </is>
      </c>
      <c r="B6" s="6">
        <f>-B5*Assumptions!$B$25</f>
        <v/>
      </c>
      <c r="C6" s="6">
        <f>-C5*Assumptions!$B$25</f>
        <v/>
      </c>
      <c r="D6" s="6">
        <f>-D5*Assumptions!$B$25</f>
        <v/>
      </c>
      <c r="E6" s="6">
        <f>-E5*Assumptions!$B$25</f>
        <v/>
      </c>
      <c r="F6" s="6">
        <f>-F5*Assumptions!$B$25</f>
        <v/>
      </c>
      <c r="G6" s="6">
        <f>-G5*Assumptions!$B$25</f>
        <v/>
      </c>
      <c r="H6" s="6">
        <f>-H5*Assumptions!$B$25</f>
        <v/>
      </c>
      <c r="I6" s="6">
        <f>-I5*Assumptions!$B$25</f>
        <v/>
      </c>
      <c r="J6" s="6">
        <f>-J5*Assumptions!$B$25</f>
        <v/>
      </c>
      <c r="K6" s="6">
        <f>-K5*Assumptions!$B$25</f>
        <v/>
      </c>
      <c r="L6" s="6">
        <f>-L5*Assumptions!$B$25</f>
        <v/>
      </c>
      <c r="M6" s="6">
        <f>-M5*Assumptions!$B$25</f>
        <v/>
      </c>
      <c r="N6" s="8">
        <f>SUM(B6:M6)</f>
        <v/>
      </c>
      <c r="O6" s="9">
        <f>IF($N$14=0,0,N6/$N$14)</f>
        <v/>
      </c>
    </row>
    <row r="7">
      <c r="A7" t="inlineStr">
        <is>
          <t xml:space="preserve">  Less: non-revenue units</t>
        </is>
      </c>
      <c r="B7" s="6">
        <f>0</f>
        <v/>
      </c>
      <c r="C7" s="6">
        <f>0</f>
        <v/>
      </c>
      <c r="D7" s="6">
        <f>0</f>
        <v/>
      </c>
      <c r="E7" s="6">
        <f>0</f>
        <v/>
      </c>
      <c r="F7" s="6">
        <f>0</f>
        <v/>
      </c>
      <c r="G7" s="6">
        <f>0</f>
        <v/>
      </c>
      <c r="H7" s="6">
        <f>0</f>
        <v/>
      </c>
      <c r="I7" s="6">
        <f>0</f>
        <v/>
      </c>
      <c r="J7" s="6">
        <f>0</f>
        <v/>
      </c>
      <c r="K7" s="6">
        <f>0</f>
        <v/>
      </c>
      <c r="L7" s="6">
        <f>0</f>
        <v/>
      </c>
      <c r="M7" s="6">
        <f>0</f>
        <v/>
      </c>
      <c r="N7" s="8">
        <f>SUM(B7:M7)</f>
        <v/>
      </c>
      <c r="O7" s="9">
        <f>IF($N$14=0,0,N7/$N$14)</f>
        <v/>
      </c>
    </row>
    <row r="8">
      <c r="A8" s="17" t="inlineStr">
        <is>
          <t>Gross scheduled rent</t>
        </is>
      </c>
      <c r="B8" s="18">
        <f>B5+B6+B7</f>
        <v/>
      </c>
      <c r="C8" s="18">
        <f>C5+C6+C7</f>
        <v/>
      </c>
      <c r="D8" s="18">
        <f>D5+D6+D7</f>
        <v/>
      </c>
      <c r="E8" s="18">
        <f>E5+E6+E7</f>
        <v/>
      </c>
      <c r="F8" s="18">
        <f>F5+F6+F7</f>
        <v/>
      </c>
      <c r="G8" s="18">
        <f>G5+G6+G7</f>
        <v/>
      </c>
      <c r="H8" s="18">
        <f>H5+H6+H7</f>
        <v/>
      </c>
      <c r="I8" s="18">
        <f>I5+I6+I7</f>
        <v/>
      </c>
      <c r="J8" s="18">
        <f>J5+J6+J7</f>
        <v/>
      </c>
      <c r="K8" s="18">
        <f>K5+K6+K7</f>
        <v/>
      </c>
      <c r="L8" s="18">
        <f>L5+L6+L7</f>
        <v/>
      </c>
      <c r="M8" s="18">
        <f>M5+M6+M7</f>
        <v/>
      </c>
      <c r="N8" s="18">
        <f>SUM(B8:M8)</f>
        <v/>
      </c>
      <c r="O8" s="9">
        <f>IF($N$14=0,0,N8/$N$14)</f>
        <v/>
      </c>
    </row>
    <row r="9">
      <c r="A9" t="inlineStr">
        <is>
          <t xml:space="preserve">  Plus: other income</t>
        </is>
      </c>
      <c r="B9" s="6">
        <f>Assumptions!$B$26</f>
        <v/>
      </c>
      <c r="C9" s="6">
        <f>Assumptions!$B$26</f>
        <v/>
      </c>
      <c r="D9" s="6">
        <f>Assumptions!$B$26</f>
        <v/>
      </c>
      <c r="E9" s="6">
        <f>Assumptions!$B$26</f>
        <v/>
      </c>
      <c r="F9" s="6">
        <f>Assumptions!$B$26</f>
        <v/>
      </c>
      <c r="G9" s="6">
        <f>Assumptions!$B$26</f>
        <v/>
      </c>
      <c r="H9" s="6">
        <f>Assumptions!$B$26</f>
        <v/>
      </c>
      <c r="I9" s="6">
        <f>Assumptions!$B$26</f>
        <v/>
      </c>
      <c r="J9" s="6">
        <f>Assumptions!$B$26</f>
        <v/>
      </c>
      <c r="K9" s="6">
        <f>Assumptions!$B$26</f>
        <v/>
      </c>
      <c r="L9" s="6">
        <f>Assumptions!$B$26</f>
        <v/>
      </c>
      <c r="M9" s="6">
        <f>Assumptions!$B$26</f>
        <v/>
      </c>
      <c r="N9" s="8">
        <f>SUM(B9:M9)</f>
        <v/>
      </c>
      <c r="O9" s="9">
        <f>IF($N$14=0,0,N9/$N$14)</f>
        <v/>
      </c>
    </row>
    <row r="10">
      <c r="A10" s="17" t="inlineStr">
        <is>
          <t>Potential gross income</t>
        </is>
      </c>
      <c r="B10" s="18">
        <f>B8+B9</f>
        <v/>
      </c>
      <c r="C10" s="18">
        <f>C8+C9</f>
        <v/>
      </c>
      <c r="D10" s="18">
        <f>D8+D9</f>
        <v/>
      </c>
      <c r="E10" s="18">
        <f>E8+E9</f>
        <v/>
      </c>
      <c r="F10" s="18">
        <f>F8+F9</f>
        <v/>
      </c>
      <c r="G10" s="18">
        <f>G8+G9</f>
        <v/>
      </c>
      <c r="H10" s="18">
        <f>H8+H9</f>
        <v/>
      </c>
      <c r="I10" s="18">
        <f>I8+I9</f>
        <v/>
      </c>
      <c r="J10" s="18">
        <f>J8+J9</f>
        <v/>
      </c>
      <c r="K10" s="18">
        <f>K8+K9</f>
        <v/>
      </c>
      <c r="L10" s="18">
        <f>L8+L9</f>
        <v/>
      </c>
      <c r="M10" s="18">
        <f>M8+M9</f>
        <v/>
      </c>
      <c r="N10" s="18">
        <f>SUM(B10:M10)</f>
        <v/>
      </c>
      <c r="O10" s="9">
        <f>IF($N$14=0,0,N10/$N$14)</f>
        <v/>
      </c>
    </row>
    <row r="11">
      <c r="A11" t="inlineStr">
        <is>
          <t xml:space="preserve">  Less: vacancy</t>
        </is>
      </c>
      <c r="B11" s="6">
        <f>-B10*Assumptions!$B$27</f>
        <v/>
      </c>
      <c r="C11" s="6">
        <f>-C10*Assumptions!$B$27</f>
        <v/>
      </c>
      <c r="D11" s="6">
        <f>-D10*Assumptions!$B$27</f>
        <v/>
      </c>
      <c r="E11" s="6">
        <f>-E10*Assumptions!$B$27</f>
        <v/>
      </c>
      <c r="F11" s="6">
        <f>-F10*Assumptions!$B$27</f>
        <v/>
      </c>
      <c r="G11" s="6">
        <f>-G10*Assumptions!$B$27</f>
        <v/>
      </c>
      <c r="H11" s="6">
        <f>-H10*Assumptions!$B$27</f>
        <v/>
      </c>
      <c r="I11" s="6">
        <f>-I10*Assumptions!$B$27</f>
        <v/>
      </c>
      <c r="J11" s="6">
        <f>-J10*Assumptions!$B$27</f>
        <v/>
      </c>
      <c r="K11" s="6">
        <f>-K10*Assumptions!$B$27</f>
        <v/>
      </c>
      <c r="L11" s="6">
        <f>-L10*Assumptions!$B$27</f>
        <v/>
      </c>
      <c r="M11" s="6">
        <f>-M10*Assumptions!$B$27</f>
        <v/>
      </c>
      <c r="N11" s="8">
        <f>SUM(B11:M11)</f>
        <v/>
      </c>
      <c r="O11" s="9">
        <f>IF($N$14=0,0,N11/$N$14)</f>
        <v/>
      </c>
    </row>
    <row r="12">
      <c r="A12" t="inlineStr">
        <is>
          <t xml:space="preserve">  Less: credit loss / bad debt</t>
        </is>
      </c>
      <c r="B12" s="6">
        <f>-B10*Assumptions!$B$28</f>
        <v/>
      </c>
      <c r="C12" s="6">
        <f>-C10*Assumptions!$B$28</f>
        <v/>
      </c>
      <c r="D12" s="6">
        <f>-D10*Assumptions!$B$28</f>
        <v/>
      </c>
      <c r="E12" s="6">
        <f>-E10*Assumptions!$B$28</f>
        <v/>
      </c>
      <c r="F12" s="6">
        <f>-F10*Assumptions!$B$28</f>
        <v/>
      </c>
      <c r="G12" s="6">
        <f>-G10*Assumptions!$B$28</f>
        <v/>
      </c>
      <c r="H12" s="6">
        <f>-H10*Assumptions!$B$28</f>
        <v/>
      </c>
      <c r="I12" s="6">
        <f>-I10*Assumptions!$B$28</f>
        <v/>
      </c>
      <c r="J12" s="6">
        <f>-J10*Assumptions!$B$28</f>
        <v/>
      </c>
      <c r="K12" s="6">
        <f>-K10*Assumptions!$B$28</f>
        <v/>
      </c>
      <c r="L12" s="6">
        <f>-L10*Assumptions!$B$28</f>
        <v/>
      </c>
      <c r="M12" s="6">
        <f>-M10*Assumptions!$B$28</f>
        <v/>
      </c>
      <c r="N12" s="8">
        <f>SUM(B12:M12)</f>
        <v/>
      </c>
      <c r="O12" s="9">
        <f>IF($N$14=0,0,N12/$N$14)</f>
        <v/>
      </c>
    </row>
    <row r="13">
      <c r="A13" t="inlineStr">
        <is>
          <t xml:space="preserve">  Less: concessions</t>
        </is>
      </c>
      <c r="B13" s="6">
        <f>-B10*Assumptions!$B$29</f>
        <v/>
      </c>
      <c r="C13" s="6">
        <f>-C10*Assumptions!$B$29</f>
        <v/>
      </c>
      <c r="D13" s="6">
        <f>-D10*Assumptions!$B$29</f>
        <v/>
      </c>
      <c r="E13" s="6">
        <f>-E10*Assumptions!$B$29</f>
        <v/>
      </c>
      <c r="F13" s="6">
        <f>-F10*Assumptions!$B$29</f>
        <v/>
      </c>
      <c r="G13" s="6">
        <f>-G10*Assumptions!$B$29</f>
        <v/>
      </c>
      <c r="H13" s="6">
        <f>-H10*Assumptions!$B$29</f>
        <v/>
      </c>
      <c r="I13" s="6">
        <f>-I10*Assumptions!$B$29</f>
        <v/>
      </c>
      <c r="J13" s="6">
        <f>-J10*Assumptions!$B$29</f>
        <v/>
      </c>
      <c r="K13" s="6">
        <f>-K10*Assumptions!$B$29</f>
        <v/>
      </c>
      <c r="L13" s="6">
        <f>-L10*Assumptions!$B$29</f>
        <v/>
      </c>
      <c r="M13" s="6">
        <f>-M10*Assumptions!$B$29</f>
        <v/>
      </c>
      <c r="N13" s="8">
        <f>SUM(B13:M13)</f>
        <v/>
      </c>
      <c r="O13" s="9">
        <f>IF($N$14=0,0,N13/$N$14)</f>
        <v/>
      </c>
    </row>
    <row r="14">
      <c r="A14" s="17" t="inlineStr">
        <is>
          <t>Effective gross income</t>
        </is>
      </c>
      <c r="B14" s="18">
        <f>B10+B11+B12+B13</f>
        <v/>
      </c>
      <c r="C14" s="18">
        <f>C10+C11+C12+C13</f>
        <v/>
      </c>
      <c r="D14" s="18">
        <f>D10+D11+D12+D13</f>
        <v/>
      </c>
      <c r="E14" s="18">
        <f>E10+E11+E12+E13</f>
        <v/>
      </c>
      <c r="F14" s="18">
        <f>F10+F11+F12+F13</f>
        <v/>
      </c>
      <c r="G14" s="18">
        <f>G10+G11+G12+G13</f>
        <v/>
      </c>
      <c r="H14" s="18">
        <f>H10+H11+H12+H13</f>
        <v/>
      </c>
      <c r="I14" s="18">
        <f>I10+I11+I12+I13</f>
        <v/>
      </c>
      <c r="J14" s="18">
        <f>J10+J11+J12+J13</f>
        <v/>
      </c>
      <c r="K14" s="18">
        <f>K10+K11+K12+K13</f>
        <v/>
      </c>
      <c r="L14" s="18">
        <f>L10+L11+L12+L13</f>
        <v/>
      </c>
      <c r="M14" s="18">
        <f>M10+M11+M12+M13</f>
        <v/>
      </c>
      <c r="N14" s="18">
        <f>SUM(B14:M14)</f>
        <v/>
      </c>
      <c r="O14" s="9">
        <f>IF($N$14=0,0,N14/$N$14)</f>
        <v/>
      </c>
    </row>
    <row r="15">
      <c r="A15" t="inlineStr">
        <is>
          <t xml:space="preserve">  Less: operating expenses</t>
        </is>
      </c>
      <c r="B15" s="6">
        <f>-B14*Assumptions!$B$32</f>
        <v/>
      </c>
      <c r="C15" s="6">
        <f>-C14*Assumptions!$B$32</f>
        <v/>
      </c>
      <c r="D15" s="6">
        <f>-D14*Assumptions!$B$32</f>
        <v/>
      </c>
      <c r="E15" s="6">
        <f>-E14*Assumptions!$B$32</f>
        <v/>
      </c>
      <c r="F15" s="6">
        <f>-F14*Assumptions!$B$32</f>
        <v/>
      </c>
      <c r="G15" s="6">
        <f>-G14*Assumptions!$B$32</f>
        <v/>
      </c>
      <c r="H15" s="6">
        <f>-H14*Assumptions!$B$32</f>
        <v/>
      </c>
      <c r="I15" s="6">
        <f>-I14*Assumptions!$B$32</f>
        <v/>
      </c>
      <c r="J15" s="6">
        <f>-J14*Assumptions!$B$32</f>
        <v/>
      </c>
      <c r="K15" s="6">
        <f>-K14*Assumptions!$B$32</f>
        <v/>
      </c>
      <c r="L15" s="6">
        <f>-L14*Assumptions!$B$32</f>
        <v/>
      </c>
      <c r="M15" s="6">
        <f>-M14*Assumptions!$B$32</f>
        <v/>
      </c>
      <c r="N15" s="8">
        <f>SUM(B15:M15)</f>
        <v/>
      </c>
      <c r="O15" s="9">
        <f>IF($N$14=0,0,N15/$N$14)</f>
        <v/>
      </c>
    </row>
    <row r="16">
      <c r="A16" s="17" t="inlineStr">
        <is>
          <t>Net operating income</t>
        </is>
      </c>
      <c r="B16" s="18">
        <f>B14+B15</f>
        <v/>
      </c>
      <c r="C16" s="18">
        <f>C14+C15</f>
        <v/>
      </c>
      <c r="D16" s="18">
        <f>D14+D15</f>
        <v/>
      </c>
      <c r="E16" s="18">
        <f>E14+E15</f>
        <v/>
      </c>
      <c r="F16" s="18">
        <f>F14+F15</f>
        <v/>
      </c>
      <c r="G16" s="18">
        <f>G14+G15</f>
        <v/>
      </c>
      <c r="H16" s="18">
        <f>H14+H15</f>
        <v/>
      </c>
      <c r="I16" s="18">
        <f>I14+I15</f>
        <v/>
      </c>
      <c r="J16" s="18">
        <f>J14+J15</f>
        <v/>
      </c>
      <c r="K16" s="18">
        <f>K14+K15</f>
        <v/>
      </c>
      <c r="L16" s="18">
        <f>L14+L15</f>
        <v/>
      </c>
      <c r="M16" s="18">
        <f>M14+M15</f>
        <v/>
      </c>
      <c r="N16" s="18">
        <f>SUM(B16:M16)</f>
        <v/>
      </c>
      <c r="O16" s="9">
        <f>IF($N$14=0,0,N16/$N$14)</f>
        <v/>
      </c>
    </row>
    <row r="17">
      <c r="A17" t="inlineStr">
        <is>
          <t xml:space="preserve">  Less: CapEx / replacement reserve</t>
        </is>
      </c>
      <c r="B17" s="6">
        <f>-B14*Assumptions!$B$35</f>
        <v/>
      </c>
      <c r="C17" s="6">
        <f>-C14*Assumptions!$B$35</f>
        <v/>
      </c>
      <c r="D17" s="6">
        <f>-D14*Assumptions!$B$35</f>
        <v/>
      </c>
      <c r="E17" s="6">
        <f>-E14*Assumptions!$B$35</f>
        <v/>
      </c>
      <c r="F17" s="6">
        <f>-F14*Assumptions!$B$35</f>
        <v/>
      </c>
      <c r="G17" s="6">
        <f>-G14*Assumptions!$B$35</f>
        <v/>
      </c>
      <c r="H17" s="6">
        <f>-H14*Assumptions!$B$35</f>
        <v/>
      </c>
      <c r="I17" s="6">
        <f>-I14*Assumptions!$B$35</f>
        <v/>
      </c>
      <c r="J17" s="6">
        <f>-J14*Assumptions!$B$35</f>
        <v/>
      </c>
      <c r="K17" s="6">
        <f>-K14*Assumptions!$B$35</f>
        <v/>
      </c>
      <c r="L17" s="6">
        <f>-L14*Assumptions!$B$35</f>
        <v/>
      </c>
      <c r="M17" s="6">
        <f>-M14*Assumptions!$B$35</f>
        <v/>
      </c>
      <c r="N17" s="8">
        <f>SUM(B17:M17)</f>
        <v/>
      </c>
      <c r="O17" s="9">
        <f>IF($N$14=0,0,N17/$N$14)</f>
        <v/>
      </c>
    </row>
    <row r="18">
      <c r="A18" t="inlineStr">
        <is>
          <t xml:space="preserve">  Less: asset management fee</t>
        </is>
      </c>
      <c r="B18" s="6">
        <f>-B14*Assumptions!$B$40</f>
        <v/>
      </c>
      <c r="C18" s="6">
        <f>-C14*Assumptions!$B$40</f>
        <v/>
      </c>
      <c r="D18" s="6">
        <f>-D14*Assumptions!$B$40</f>
        <v/>
      </c>
      <c r="E18" s="6">
        <f>-E14*Assumptions!$B$40</f>
        <v/>
      </c>
      <c r="F18" s="6">
        <f>-F14*Assumptions!$B$40</f>
        <v/>
      </c>
      <c r="G18" s="6">
        <f>-G14*Assumptions!$B$40</f>
        <v/>
      </c>
      <c r="H18" s="6">
        <f>-H14*Assumptions!$B$40</f>
        <v/>
      </c>
      <c r="I18" s="6">
        <f>-I14*Assumptions!$B$40</f>
        <v/>
      </c>
      <c r="J18" s="6">
        <f>-J14*Assumptions!$B$40</f>
        <v/>
      </c>
      <c r="K18" s="6">
        <f>-K14*Assumptions!$B$40</f>
        <v/>
      </c>
      <c r="L18" s="6">
        <f>-L14*Assumptions!$B$40</f>
        <v/>
      </c>
      <c r="M18" s="6">
        <f>-M14*Assumptions!$B$40</f>
        <v/>
      </c>
      <c r="N18" s="8">
        <f>SUM(B18:M18)</f>
        <v/>
      </c>
      <c r="O18" s="9">
        <f>IF($N$14=0,0,N18/$N$14)</f>
        <v/>
      </c>
    </row>
    <row r="19">
      <c r="A19" s="17" t="inlineStr">
        <is>
          <t>Cash flow before debt service</t>
        </is>
      </c>
      <c r="B19" s="18">
        <f>B16+B17+B18</f>
        <v/>
      </c>
      <c r="C19" s="18">
        <f>C16+C17+C18</f>
        <v/>
      </c>
      <c r="D19" s="18">
        <f>D16+D17+D18</f>
        <v/>
      </c>
      <c r="E19" s="18">
        <f>E16+E17+E18</f>
        <v/>
      </c>
      <c r="F19" s="18">
        <f>F16+F17+F18</f>
        <v/>
      </c>
      <c r="G19" s="18">
        <f>G16+G17+G18</f>
        <v/>
      </c>
      <c r="H19" s="18">
        <f>H16+H17+H18</f>
        <v/>
      </c>
      <c r="I19" s="18">
        <f>I16+I17+I18</f>
        <v/>
      </c>
      <c r="J19" s="18">
        <f>J16+J17+J18</f>
        <v/>
      </c>
      <c r="K19" s="18">
        <f>K16+K17+K18</f>
        <v/>
      </c>
      <c r="L19" s="18">
        <f>L16+L17+L18</f>
        <v/>
      </c>
      <c r="M19" s="18">
        <f>M16+M17+M18</f>
        <v/>
      </c>
      <c r="N19" s="18">
        <f>SUM(B19:M19)</f>
        <v/>
      </c>
      <c r="O19" s="9">
        <f>IF($N$14=0,0,N19/$N$14)</f>
        <v/>
      </c>
    </row>
    <row r="20">
      <c r="A20" t="inlineStr">
        <is>
          <t xml:space="preserve">  Less: debt service</t>
        </is>
      </c>
      <c r="B20" s="6">
        <f>-Debt!$B$7</f>
        <v/>
      </c>
      <c r="C20" s="6">
        <f>-Debt!$B$7</f>
        <v/>
      </c>
      <c r="D20" s="6">
        <f>-Debt!$B$7</f>
        <v/>
      </c>
      <c r="E20" s="6">
        <f>-Debt!$B$7</f>
        <v/>
      </c>
      <c r="F20" s="6">
        <f>-Debt!$B$7</f>
        <v/>
      </c>
      <c r="G20" s="6">
        <f>-Debt!$B$7</f>
        <v/>
      </c>
      <c r="H20" s="6">
        <f>-Debt!$B$7</f>
        <v/>
      </c>
      <c r="I20" s="6">
        <f>-Debt!$B$7</f>
        <v/>
      </c>
      <c r="J20" s="6">
        <f>-Debt!$B$7</f>
        <v/>
      </c>
      <c r="K20" s="6">
        <f>-Debt!$B$7</f>
        <v/>
      </c>
      <c r="L20" s="6">
        <f>-Debt!$B$7</f>
        <v/>
      </c>
      <c r="M20" s="6">
        <f>-Debt!$B$7</f>
        <v/>
      </c>
      <c r="N20" s="8">
        <f>SUM(B20:M20)</f>
        <v/>
      </c>
      <c r="O20" s="9">
        <f>IF($N$14=0,0,N20/$N$14)</f>
        <v/>
      </c>
    </row>
    <row r="21">
      <c r="A21" s="17" t="inlineStr">
        <is>
          <t>Cash flow after debt service</t>
        </is>
      </c>
      <c r="B21" s="18">
        <f>B19+B20</f>
        <v/>
      </c>
      <c r="C21" s="18">
        <f>C19+C20</f>
        <v/>
      </c>
      <c r="D21" s="18">
        <f>D19+D20</f>
        <v/>
      </c>
      <c r="E21" s="18">
        <f>E19+E20</f>
        <v/>
      </c>
      <c r="F21" s="18">
        <f>F19+F20</f>
        <v/>
      </c>
      <c r="G21" s="18">
        <f>G19+G20</f>
        <v/>
      </c>
      <c r="H21" s="18">
        <f>H19+H20</f>
        <v/>
      </c>
      <c r="I21" s="18">
        <f>I19+I20</f>
        <v/>
      </c>
      <c r="J21" s="18">
        <f>J19+J20</f>
        <v/>
      </c>
      <c r="K21" s="18">
        <f>K19+K20</f>
        <v/>
      </c>
      <c r="L21" s="18">
        <f>L19+L20</f>
        <v/>
      </c>
      <c r="M21" s="18">
        <f>M19+M20</f>
        <v/>
      </c>
      <c r="N21" s="18">
        <f>SUM(B21:M21)</f>
        <v/>
      </c>
      <c r="O21" s="9">
        <f>IF($N$14=0,0,N21/$N$14)</f>
        <v/>
      </c>
    </row>
    <row r="23">
      <c r="A23" s="3" t="inlineStr">
        <is>
          <t>PRO-FORMA, NOT A TRAILING 12. This property is vacant with no collected-rent history, so all twelve months are projected from the market rent estimate and percentage assumptions. Do not present this as actuals to a lender or a buyer.</t>
        </is>
      </c>
    </row>
  </sheetData>
  <printOptions horizontalCentered="1"/>
  <pageMargins left="0.75" right="0.75" top="1" bottom="1" header="0.5" footer="0.5"/>
  <pageSetup orientation="landscape" fitToHeight="0" fitToWidth="1"/>
  <headerFooter>
    <oddHeader>&amp;L1813 Linden Ave, Memphis, TN 38104&amp;RField Property Partners</oddHeader>
    <oddFooter>&amp;L&amp;A&amp;RPage &amp;P of &amp;N</oddFooter>
    <evenHeader/>
    <evenFooter/>
    <firstHeader/>
    <firstFooter/>
  </headerFooter>
  <legacyDrawing xmlns:r="http://schemas.openxmlformats.org/officeDocument/2006/relationships" r:id="anysvml"/>
</worksheet>
</file>

<file path=xl/worksheets/sheet6.xml><?xml version="1.0" encoding="utf-8"?>
<worksheet xmlns="http://schemas.openxmlformats.org/spreadsheetml/2006/main">
  <sheetPr>
    <outlinePr summaryBelow="1" summaryRight="1"/>
    <pageSetUpPr fitToPage="1"/>
  </sheetPr>
  <dimension ref="A1:M36"/>
  <sheetViews>
    <sheetView showGridLines="0" workbookViewId="0">
      <pane xSplit="1" ySplit="5" topLeftCell="B6" activePane="bottomRight" state="frozen"/>
      <selection pane="topRight"/>
      <selection pane="bottomLeft"/>
      <selection pane="bottomRight" activeCell="A1" sqref="A1"/>
    </sheetView>
  </sheetViews>
  <sheetFormatPr baseColWidth="8" defaultRowHeight="15"/>
  <cols>
    <col width="36" customWidth="1" min="1" max="1"/>
    <col width="13" customWidth="1" min="2" max="2"/>
    <col width="13" customWidth="1" min="3" max="3"/>
    <col width="13" customWidth="1" min="4" max="4"/>
    <col width="13" customWidth="1" min="5" max="5"/>
    <col width="13" customWidth="1" min="6" max="6"/>
    <col width="13" customWidth="1" min="7" max="7"/>
    <col width="13" customWidth="1" min="8" max="8"/>
    <col width="13" customWidth="1" min="9" max="9"/>
    <col width="13" customWidth="1" min="10" max="10"/>
    <col width="13" customWidth="1" min="11" max="11"/>
    <col width="13" customWidth="1" min="12" max="12"/>
    <col width="13" customWidth="1" min="13" max="13"/>
    <col width="13" customWidth="1" min="14" max="14"/>
  </cols>
  <sheetData>
    <row r="1">
      <c r="A1" s="1" t="inlineStr">
        <is>
          <t>DISCOUNTED CASH FLOW — 10-YEAR HOLD</t>
        </is>
      </c>
    </row>
    <row r="2">
      <c r="A2" s="2" t="inlineStr">
        <is>
          <t>Unlevered and levered, standard structure.</t>
        </is>
      </c>
      <c r="C2" s="3" t="inlineStr">
        <is>
          <t>Exit value = FORWARD (year N+1) NOI / exit cap. Never trailing NOI.</t>
        </is>
      </c>
    </row>
    <row r="4">
      <c r="A4" s="21" t="inlineStr">
        <is>
          <t>Line item</t>
        </is>
      </c>
      <c r="B4" s="21" t="inlineStr">
        <is>
          <t>Year 0</t>
        </is>
      </c>
      <c r="C4" s="21" t="inlineStr">
        <is>
          <t>Year 1</t>
        </is>
      </c>
      <c r="D4" s="21" t="inlineStr">
        <is>
          <t>Year 2</t>
        </is>
      </c>
      <c r="E4" s="21" t="inlineStr">
        <is>
          <t>Year 3</t>
        </is>
      </c>
      <c r="F4" s="21" t="inlineStr">
        <is>
          <t>Year 4</t>
        </is>
      </c>
      <c r="G4" s="21" t="inlineStr">
        <is>
          <t>Year 5</t>
        </is>
      </c>
      <c r="H4" s="21" t="inlineStr">
        <is>
          <t>Year 6</t>
        </is>
      </c>
      <c r="I4" s="21" t="inlineStr">
        <is>
          <t>Year 7</t>
        </is>
      </c>
      <c r="J4" s="21" t="inlineStr">
        <is>
          <t>Year 8</t>
        </is>
      </c>
      <c r="K4" s="21" t="inlineStr">
        <is>
          <t>Year 9</t>
        </is>
      </c>
      <c r="L4" s="21" t="inlineStr">
        <is>
          <t>Year 10</t>
        </is>
      </c>
      <c r="M4" s="21" t="inlineStr">
        <is>
          <t>Year 11 (fwd)</t>
        </is>
      </c>
    </row>
    <row r="5">
      <c r="A5" s="4" t="inlineStr">
        <is>
          <t>OPERATING PROJECTION</t>
        </is>
      </c>
      <c r="B5" s="5" t="n"/>
      <c r="C5" s="5" t="n"/>
      <c r="D5" s="5" t="n"/>
      <c r="E5" s="5" t="n"/>
      <c r="F5" s="5" t="n"/>
      <c r="G5" s="5" t="n"/>
      <c r="H5" s="5" t="n"/>
      <c r="I5" s="5" t="n"/>
      <c r="J5" s="5" t="n"/>
      <c r="K5" s="5" t="n"/>
      <c r="L5" s="5" t="n"/>
      <c r="M5" s="5" t="n"/>
    </row>
    <row r="6">
      <c r="A6" t="inlineStr">
        <is>
          <t>Gross potential rent</t>
        </is>
      </c>
      <c r="C6" s="6">
        <f>Assumptions!$B$24*12</f>
        <v/>
      </c>
      <c r="D6" s="6">
        <f>C6*(1+Assumptions!$B$49)</f>
        <v/>
      </c>
      <c r="E6" s="6">
        <f>D6*(1+Assumptions!$B$49)</f>
        <v/>
      </c>
      <c r="F6" s="6">
        <f>E6*(1+Assumptions!$B$49)</f>
        <v/>
      </c>
      <c r="G6" s="6">
        <f>F6*(1+Assumptions!$B$49)</f>
        <v/>
      </c>
      <c r="H6" s="6">
        <f>G6*(1+Assumptions!$B$49)</f>
        <v/>
      </c>
      <c r="I6" s="6">
        <f>H6*(1+Assumptions!$B$49)</f>
        <v/>
      </c>
      <c r="J6" s="6">
        <f>I6*(1+Assumptions!$B$49)</f>
        <v/>
      </c>
      <c r="K6" s="6">
        <f>J6*(1+Assumptions!$B$49)</f>
        <v/>
      </c>
      <c r="L6" s="6">
        <f>K6*(1+Assumptions!$B$49)</f>
        <v/>
      </c>
      <c r="M6" s="6">
        <f>L6*(1+Assumptions!$B$49)</f>
        <v/>
      </c>
    </row>
    <row r="7">
      <c r="A7" t="inlineStr">
        <is>
          <t xml:space="preserve">  Less: loss to lease</t>
        </is>
      </c>
      <c r="C7" s="6">
        <f>-C6*Assumptions!$B$25</f>
        <v/>
      </c>
      <c r="D7" s="6">
        <f>-D6*Assumptions!$B$25</f>
        <v/>
      </c>
      <c r="E7" s="6">
        <f>-E6*Assumptions!$B$25</f>
        <v/>
      </c>
      <c r="F7" s="6">
        <f>-F6*Assumptions!$B$25</f>
        <v/>
      </c>
      <c r="G7" s="6">
        <f>-G6*Assumptions!$B$25</f>
        <v/>
      </c>
      <c r="H7" s="6">
        <f>-H6*Assumptions!$B$25</f>
        <v/>
      </c>
      <c r="I7" s="6">
        <f>-I6*Assumptions!$B$25</f>
        <v/>
      </c>
      <c r="J7" s="6">
        <f>-J6*Assumptions!$B$25</f>
        <v/>
      </c>
      <c r="K7" s="6">
        <f>-K6*Assumptions!$B$25</f>
        <v/>
      </c>
      <c r="L7" s="6">
        <f>-L6*Assumptions!$B$25</f>
        <v/>
      </c>
      <c r="M7" s="6">
        <f>-M6*Assumptions!$B$25</f>
        <v/>
      </c>
    </row>
    <row r="8">
      <c r="A8" t="inlineStr">
        <is>
          <t xml:space="preserve">  Less: non-revenue units</t>
        </is>
      </c>
      <c r="C8" s="6">
        <f>0</f>
        <v/>
      </c>
      <c r="D8" s="6">
        <f>0</f>
        <v/>
      </c>
      <c r="E8" s="6">
        <f>0</f>
        <v/>
      </c>
      <c r="F8" s="6">
        <f>0</f>
        <v/>
      </c>
      <c r="G8" s="6">
        <f>0</f>
        <v/>
      </c>
      <c r="H8" s="6">
        <f>0</f>
        <v/>
      </c>
      <c r="I8" s="6">
        <f>0</f>
        <v/>
      </c>
      <c r="J8" s="6">
        <f>0</f>
        <v/>
      </c>
      <c r="K8" s="6">
        <f>0</f>
        <v/>
      </c>
      <c r="L8" s="6">
        <f>0</f>
        <v/>
      </c>
      <c r="M8" s="6">
        <f>0</f>
        <v/>
      </c>
    </row>
    <row r="9">
      <c r="A9" s="17" t="inlineStr">
        <is>
          <t>Gross scheduled rent</t>
        </is>
      </c>
      <c r="C9" s="18">
        <f>C6+C7+C8</f>
        <v/>
      </c>
      <c r="D9" s="18">
        <f>D6+D7+D8</f>
        <v/>
      </c>
      <c r="E9" s="18">
        <f>E6+E7+E8</f>
        <v/>
      </c>
      <c r="F9" s="18">
        <f>F6+F7+F8</f>
        <v/>
      </c>
      <c r="G9" s="18">
        <f>G6+G7+G8</f>
        <v/>
      </c>
      <c r="H9" s="18">
        <f>H6+H7+H8</f>
        <v/>
      </c>
      <c r="I9" s="18">
        <f>I6+I7+I8</f>
        <v/>
      </c>
      <c r="J9" s="18">
        <f>J6+J7+J8</f>
        <v/>
      </c>
      <c r="K9" s="18">
        <f>K6+K7+K8</f>
        <v/>
      </c>
      <c r="L9" s="18">
        <f>L6+L7+L8</f>
        <v/>
      </c>
      <c r="M9" s="18">
        <f>M6+M7+M8</f>
        <v/>
      </c>
    </row>
    <row r="10">
      <c r="A10" t="inlineStr">
        <is>
          <t xml:space="preserve">  Plus: other income</t>
        </is>
      </c>
      <c r="C10" s="6">
        <f>Assumptions!$B$26*12</f>
        <v/>
      </c>
      <c r="D10" s="6">
        <f>C10*(1+Assumptions!$B$49)</f>
        <v/>
      </c>
      <c r="E10" s="6">
        <f>D10*(1+Assumptions!$B$49)</f>
        <v/>
      </c>
      <c r="F10" s="6">
        <f>E10*(1+Assumptions!$B$49)</f>
        <v/>
      </c>
      <c r="G10" s="6">
        <f>F10*(1+Assumptions!$B$49)</f>
        <v/>
      </c>
      <c r="H10" s="6">
        <f>G10*(1+Assumptions!$B$49)</f>
        <v/>
      </c>
      <c r="I10" s="6">
        <f>H10*(1+Assumptions!$B$49)</f>
        <v/>
      </c>
      <c r="J10" s="6">
        <f>I10*(1+Assumptions!$B$49)</f>
        <v/>
      </c>
      <c r="K10" s="6">
        <f>J10*(1+Assumptions!$B$49)</f>
        <v/>
      </c>
      <c r="L10" s="6">
        <f>K10*(1+Assumptions!$B$49)</f>
        <v/>
      </c>
      <c r="M10" s="6">
        <f>L10*(1+Assumptions!$B$49)</f>
        <v/>
      </c>
    </row>
    <row r="11">
      <c r="A11" s="17" t="inlineStr">
        <is>
          <t>Potential gross income</t>
        </is>
      </c>
      <c r="C11" s="18">
        <f>C9+C10</f>
        <v/>
      </c>
      <c r="D11" s="18">
        <f>D9+D10</f>
        <v/>
      </c>
      <c r="E11" s="18">
        <f>E9+E10</f>
        <v/>
      </c>
      <c r="F11" s="18">
        <f>F9+F10</f>
        <v/>
      </c>
      <c r="G11" s="18">
        <f>G9+G10</f>
        <v/>
      </c>
      <c r="H11" s="18">
        <f>H9+H10</f>
        <v/>
      </c>
      <c r="I11" s="18">
        <f>I9+I10</f>
        <v/>
      </c>
      <c r="J11" s="18">
        <f>J9+J10</f>
        <v/>
      </c>
      <c r="K11" s="18">
        <f>K9+K10</f>
        <v/>
      </c>
      <c r="L11" s="18">
        <f>L9+L10</f>
        <v/>
      </c>
      <c r="M11" s="18">
        <f>M9+M10</f>
        <v/>
      </c>
    </row>
    <row r="12">
      <c r="A12" t="inlineStr">
        <is>
          <t xml:space="preserve">  Less: vacancy</t>
        </is>
      </c>
      <c r="C12" s="6">
        <f>-C11*Assumptions!$B$27</f>
        <v/>
      </c>
      <c r="D12" s="6">
        <f>-D11*Assumptions!$B$27</f>
        <v/>
      </c>
      <c r="E12" s="6">
        <f>-E11*Assumptions!$B$27</f>
        <v/>
      </c>
      <c r="F12" s="6">
        <f>-F11*Assumptions!$B$27</f>
        <v/>
      </c>
      <c r="G12" s="6">
        <f>-G11*Assumptions!$B$27</f>
        <v/>
      </c>
      <c r="H12" s="6">
        <f>-H11*Assumptions!$B$27</f>
        <v/>
      </c>
      <c r="I12" s="6">
        <f>-I11*Assumptions!$B$27</f>
        <v/>
      </c>
      <c r="J12" s="6">
        <f>-J11*Assumptions!$B$27</f>
        <v/>
      </c>
      <c r="K12" s="6">
        <f>-K11*Assumptions!$B$27</f>
        <v/>
      </c>
      <c r="L12" s="6">
        <f>-L11*Assumptions!$B$27</f>
        <v/>
      </c>
      <c r="M12" s="6">
        <f>-M11*Assumptions!$B$27</f>
        <v/>
      </c>
    </row>
    <row r="13">
      <c r="A13" t="inlineStr">
        <is>
          <t xml:space="preserve">  Less: credit loss / bad debt</t>
        </is>
      </c>
      <c r="C13" s="6">
        <f>-C11*Assumptions!$B$28</f>
        <v/>
      </c>
      <c r="D13" s="6">
        <f>-D11*Assumptions!$B$28</f>
        <v/>
      </c>
      <c r="E13" s="6">
        <f>-E11*Assumptions!$B$28</f>
        <v/>
      </c>
      <c r="F13" s="6">
        <f>-F11*Assumptions!$B$28</f>
        <v/>
      </c>
      <c r="G13" s="6">
        <f>-G11*Assumptions!$B$28</f>
        <v/>
      </c>
      <c r="H13" s="6">
        <f>-H11*Assumptions!$B$28</f>
        <v/>
      </c>
      <c r="I13" s="6">
        <f>-I11*Assumptions!$B$28</f>
        <v/>
      </c>
      <c r="J13" s="6">
        <f>-J11*Assumptions!$B$28</f>
        <v/>
      </c>
      <c r="K13" s="6">
        <f>-K11*Assumptions!$B$28</f>
        <v/>
      </c>
      <c r="L13" s="6">
        <f>-L11*Assumptions!$B$28</f>
        <v/>
      </c>
      <c r="M13" s="6">
        <f>-M11*Assumptions!$B$28</f>
        <v/>
      </c>
    </row>
    <row r="14">
      <c r="A14" t="inlineStr">
        <is>
          <t xml:space="preserve">  Less: concessions</t>
        </is>
      </c>
      <c r="C14" s="6">
        <f>-C11*Assumptions!$B$29</f>
        <v/>
      </c>
      <c r="D14" s="6">
        <f>-D11*Assumptions!$B$29</f>
        <v/>
      </c>
      <c r="E14" s="6">
        <f>-E11*Assumptions!$B$29</f>
        <v/>
      </c>
      <c r="F14" s="6">
        <f>-F11*Assumptions!$B$29</f>
        <v/>
      </c>
      <c r="G14" s="6">
        <f>-G11*Assumptions!$B$29</f>
        <v/>
      </c>
      <c r="H14" s="6">
        <f>-H11*Assumptions!$B$29</f>
        <v/>
      </c>
      <c r="I14" s="6">
        <f>-I11*Assumptions!$B$29</f>
        <v/>
      </c>
      <c r="J14" s="6">
        <f>-J11*Assumptions!$B$29</f>
        <v/>
      </c>
      <c r="K14" s="6">
        <f>-K11*Assumptions!$B$29</f>
        <v/>
      </c>
      <c r="L14" s="6">
        <f>-L11*Assumptions!$B$29</f>
        <v/>
      </c>
      <c r="M14" s="6">
        <f>-M11*Assumptions!$B$29</f>
        <v/>
      </c>
    </row>
    <row r="15">
      <c r="A15" s="17" t="inlineStr">
        <is>
          <t>Effective gross income</t>
        </is>
      </c>
      <c r="C15" s="18">
        <f>C11+C12+C13+C14</f>
        <v/>
      </c>
      <c r="D15" s="18">
        <f>D11+D12+D13+D14</f>
        <v/>
      </c>
      <c r="E15" s="18">
        <f>E11+E12+E13+E14</f>
        <v/>
      </c>
      <c r="F15" s="18">
        <f>F11+F12+F13+F14</f>
        <v/>
      </c>
      <c r="G15" s="18">
        <f>G11+G12+G13+G14</f>
        <v/>
      </c>
      <c r="H15" s="18">
        <f>H11+H12+H13+H14</f>
        <v/>
      </c>
      <c r="I15" s="18">
        <f>I11+I12+I13+I14</f>
        <v/>
      </c>
      <c r="J15" s="18">
        <f>J11+J12+J13+J14</f>
        <v/>
      </c>
      <c r="K15" s="18">
        <f>K11+K12+K13+K14</f>
        <v/>
      </c>
      <c r="L15" s="18">
        <f>L11+L12+L13+L14</f>
        <v/>
      </c>
      <c r="M15" s="18">
        <f>M11+M12+M13+M14</f>
        <v/>
      </c>
    </row>
    <row r="16">
      <c r="A16" t="inlineStr">
        <is>
          <t xml:space="preserve">  Less: operating expenses</t>
        </is>
      </c>
      <c r="C16" s="6">
        <f>-C15*Assumptions!$B$32</f>
        <v/>
      </c>
      <c r="D16" s="6">
        <f>C16*(1+Assumptions!$B$50)</f>
        <v/>
      </c>
      <c r="E16" s="6">
        <f>D16*(1+Assumptions!$B$50)</f>
        <v/>
      </c>
      <c r="F16" s="6">
        <f>E16*(1+Assumptions!$B$50)</f>
        <v/>
      </c>
      <c r="G16" s="6">
        <f>F16*(1+Assumptions!$B$50)</f>
        <v/>
      </c>
      <c r="H16" s="6">
        <f>G16*(1+Assumptions!$B$50)</f>
        <v/>
      </c>
      <c r="I16" s="6">
        <f>H16*(1+Assumptions!$B$50)</f>
        <v/>
      </c>
      <c r="J16" s="6">
        <f>I16*(1+Assumptions!$B$50)</f>
        <v/>
      </c>
      <c r="K16" s="6">
        <f>J16*(1+Assumptions!$B$50)</f>
        <v/>
      </c>
      <c r="L16" s="6">
        <f>K16*(1+Assumptions!$B$50)</f>
        <v/>
      </c>
      <c r="M16" s="6">
        <f>L16*(1+Assumptions!$B$50)</f>
        <v/>
      </c>
    </row>
    <row r="17">
      <c r="A17" s="17" t="inlineStr">
        <is>
          <t>Net operating income</t>
        </is>
      </c>
      <c r="C17" s="18">
        <f>C15+C16</f>
        <v/>
      </c>
      <c r="D17" s="18">
        <f>D15+D16</f>
        <v/>
      </c>
      <c r="E17" s="18">
        <f>E15+E16</f>
        <v/>
      </c>
      <c r="F17" s="18">
        <f>F15+F16</f>
        <v/>
      </c>
      <c r="G17" s="18">
        <f>G15+G16</f>
        <v/>
      </c>
      <c r="H17" s="18">
        <f>H15+H16</f>
        <v/>
      </c>
      <c r="I17" s="18">
        <f>I15+I16</f>
        <v/>
      </c>
      <c r="J17" s="18">
        <f>J15+J16</f>
        <v/>
      </c>
      <c r="K17" s="18">
        <f>K15+K16</f>
        <v/>
      </c>
      <c r="L17" s="18">
        <f>L15+L16</f>
        <v/>
      </c>
      <c r="M17" s="18">
        <f>M15+M16</f>
        <v/>
      </c>
    </row>
    <row r="18">
      <c r="A18" t="inlineStr">
        <is>
          <t xml:space="preserve">  NOI margin (% of EGI)</t>
        </is>
      </c>
      <c r="C18" s="9">
        <f>IF(C15=0,0,C17/C15)</f>
        <v/>
      </c>
      <c r="D18" s="9">
        <f>IF(D15=0,0,D17/D15)</f>
        <v/>
      </c>
      <c r="E18" s="9">
        <f>IF(E15=0,0,E17/E15)</f>
        <v/>
      </c>
      <c r="F18" s="9">
        <f>IF(F15=0,0,F17/F15)</f>
        <v/>
      </c>
      <c r="G18" s="9">
        <f>IF(G15=0,0,G17/G15)</f>
        <v/>
      </c>
      <c r="H18" s="9">
        <f>IF(H15=0,0,H17/H15)</f>
        <v/>
      </c>
      <c r="I18" s="9">
        <f>IF(I15=0,0,I17/I15)</f>
        <v/>
      </c>
      <c r="J18" s="9">
        <f>IF(J15=0,0,J17/J15)</f>
        <v/>
      </c>
      <c r="K18" s="9">
        <f>IF(K15=0,0,K17/K15)</f>
        <v/>
      </c>
      <c r="L18" s="9">
        <f>IF(L15=0,0,L17/L15)</f>
        <v/>
      </c>
      <c r="M18" s="9" t="n"/>
    </row>
    <row r="19">
      <c r="A19" t="inlineStr">
        <is>
          <t xml:space="preserve">  Less: CapEx / replacement reserve</t>
        </is>
      </c>
      <c r="C19" s="6">
        <f>-C15*Assumptions!$B$35</f>
        <v/>
      </c>
      <c r="D19" s="6">
        <f>C19*(1+Assumptions!$B$50)</f>
        <v/>
      </c>
      <c r="E19" s="6">
        <f>D19*(1+Assumptions!$B$50)</f>
        <v/>
      </c>
      <c r="F19" s="6">
        <f>E19*(1+Assumptions!$B$50)</f>
        <v/>
      </c>
      <c r="G19" s="6">
        <f>F19*(1+Assumptions!$B$50)</f>
        <v/>
      </c>
      <c r="H19" s="6">
        <f>G19*(1+Assumptions!$B$50)</f>
        <v/>
      </c>
      <c r="I19" s="6">
        <f>H19*(1+Assumptions!$B$50)</f>
        <v/>
      </c>
      <c r="J19" s="6">
        <f>I19*(1+Assumptions!$B$50)</f>
        <v/>
      </c>
      <c r="K19" s="6">
        <f>J19*(1+Assumptions!$B$50)</f>
        <v/>
      </c>
      <c r="L19" s="6">
        <f>K19*(1+Assumptions!$B$50)</f>
        <v/>
      </c>
      <c r="M19" s="6" t="n"/>
    </row>
    <row r="20">
      <c r="A20" t="inlineStr">
        <is>
          <t xml:space="preserve">  Less: asset management fee</t>
        </is>
      </c>
      <c r="C20" s="6">
        <f>-C15*Assumptions!$B$40</f>
        <v/>
      </c>
      <c r="D20" s="6">
        <f>C20*(1+Assumptions!$B$50)</f>
        <v/>
      </c>
      <c r="E20" s="6">
        <f>D20*(1+Assumptions!$B$50)</f>
        <v/>
      </c>
      <c r="F20" s="6">
        <f>E20*(1+Assumptions!$B$50)</f>
        <v/>
      </c>
      <c r="G20" s="6">
        <f>F20*(1+Assumptions!$B$50)</f>
        <v/>
      </c>
      <c r="H20" s="6">
        <f>G20*(1+Assumptions!$B$50)</f>
        <v/>
      </c>
      <c r="I20" s="6">
        <f>H20*(1+Assumptions!$B$50)</f>
        <v/>
      </c>
      <c r="J20" s="6">
        <f>I20*(1+Assumptions!$B$50)</f>
        <v/>
      </c>
      <c r="K20" s="6">
        <f>J20*(1+Assumptions!$B$50)</f>
        <v/>
      </c>
      <c r="L20" s="6">
        <f>K20*(1+Assumptions!$B$50)</f>
        <v/>
      </c>
      <c r="M20" s="6" t="n"/>
    </row>
    <row r="21">
      <c r="A21" s="17" t="inlineStr">
        <is>
          <t>Cash flow before debt service</t>
        </is>
      </c>
      <c r="C21" s="18">
        <f>C17+C19+C20</f>
        <v/>
      </c>
      <c r="D21" s="18">
        <f>D17+D19+D20</f>
        <v/>
      </c>
      <c r="E21" s="18">
        <f>E17+E19+E20</f>
        <v/>
      </c>
      <c r="F21" s="18">
        <f>F17+F19+F20</f>
        <v/>
      </c>
      <c r="G21" s="18">
        <f>G17+G19+G20</f>
        <v/>
      </c>
      <c r="H21" s="18">
        <f>H17+H19+H20</f>
        <v/>
      </c>
      <c r="I21" s="18">
        <f>I17+I19+I20</f>
        <v/>
      </c>
      <c r="J21" s="18">
        <f>J17+J19+J20</f>
        <v/>
      </c>
      <c r="K21" s="18">
        <f>K17+K19+K20</f>
        <v/>
      </c>
      <c r="L21" s="18">
        <f>L17+L19+L20</f>
        <v/>
      </c>
      <c r="M21" s="18" t="n"/>
    </row>
    <row r="22">
      <c r="A22" t="inlineStr">
        <is>
          <t xml:space="preserve">  Less: debt service</t>
        </is>
      </c>
      <c r="C22" s="6">
        <f>-Debt!$B$6</f>
        <v/>
      </c>
      <c r="D22" s="6">
        <f>-Debt!$B$6</f>
        <v/>
      </c>
      <c r="E22" s="6">
        <f>-Debt!$B$6</f>
        <v/>
      </c>
      <c r="F22" s="6">
        <f>-Debt!$B$6</f>
        <v/>
      </c>
      <c r="G22" s="6">
        <f>-Debt!$B$6</f>
        <v/>
      </c>
      <c r="H22" s="6">
        <f>-Debt!$B$6</f>
        <v/>
      </c>
      <c r="I22" s="6">
        <f>-Debt!$B$6</f>
        <v/>
      </c>
      <c r="J22" s="6">
        <f>-Debt!$B$6</f>
        <v/>
      </c>
      <c r="K22" s="6">
        <f>-Debt!$B$6</f>
        <v/>
      </c>
      <c r="L22" s="6">
        <f>-Debt!$B$6</f>
        <v/>
      </c>
      <c r="M22" s="6" t="n"/>
    </row>
    <row r="23">
      <c r="A23" s="17" t="inlineStr">
        <is>
          <t>Levered cash flow (operations)</t>
        </is>
      </c>
      <c r="C23" s="18">
        <f>C21+C22</f>
        <v/>
      </c>
      <c r="D23" s="18">
        <f>D21+D22</f>
        <v/>
      </c>
      <c r="E23" s="18">
        <f>E21+E22</f>
        <v/>
      </c>
      <c r="F23" s="18">
        <f>F21+F22</f>
        <v/>
      </c>
      <c r="G23" s="18">
        <f>G21+G22</f>
        <v/>
      </c>
      <c r="H23" s="18">
        <f>H21+H22</f>
        <v/>
      </c>
      <c r="I23" s="18">
        <f>I21+I22</f>
        <v/>
      </c>
      <c r="J23" s="18">
        <f>J21+J22</f>
        <v/>
      </c>
      <c r="K23" s="18">
        <f>K21+K22</f>
        <v/>
      </c>
      <c r="L23" s="18">
        <f>L21+L22</f>
        <v/>
      </c>
      <c r="M23" s="18" t="n"/>
    </row>
    <row r="25">
      <c r="A25" s="4" t="inlineStr">
        <is>
          <t>EXIT</t>
        </is>
      </c>
      <c r="B25" s="5" t="n"/>
      <c r="C25" s="5" t="n"/>
      <c r="D25" s="5" t="n"/>
      <c r="E25" s="5" t="n"/>
      <c r="F25" s="5" t="n"/>
      <c r="G25" s="5" t="n"/>
      <c r="H25" s="5" t="n"/>
      <c r="I25" s="5" t="n"/>
      <c r="J25" s="5" t="n"/>
      <c r="K25" s="5" t="n"/>
      <c r="L25" s="5" t="n"/>
      <c r="M25" s="5" t="n"/>
    </row>
    <row r="26">
      <c r="A26" s="7" t="inlineStr">
        <is>
          <t>Gross exit value</t>
        </is>
      </c>
      <c r="L26" s="8">
        <f>M17/Assumptions!$B$51</f>
        <v/>
      </c>
    </row>
    <row r="27">
      <c r="A27" t="inlineStr">
        <is>
          <t xml:space="preserve">  Less: selling costs + disposition fee</t>
        </is>
      </c>
      <c r="L27" s="6">
        <f>-L26*(Assumptions!$B$19+Assumptions!$B$39)</f>
        <v/>
      </c>
    </row>
    <row r="28">
      <c r="A28" t="inlineStr">
        <is>
          <t xml:space="preserve">  Less: loan payoff (balance at exit)</t>
        </is>
      </c>
      <c r="L28" s="6">
        <f>-Debt!$B$25</f>
        <v/>
      </c>
    </row>
    <row r="29">
      <c r="A29" s="7" t="inlineStr">
        <is>
          <t>Net proceeds — unlevered</t>
        </is>
      </c>
      <c r="L29" s="8">
        <f>L26+L27</f>
        <v/>
      </c>
    </row>
    <row r="30">
      <c r="A30" s="7" t="inlineStr">
        <is>
          <t>Net proceeds — levered (to equity)</t>
        </is>
      </c>
      <c r="L30" s="8">
        <f>L29+L28</f>
        <v/>
      </c>
    </row>
    <row r="32">
      <c r="A32" s="4" t="inlineStr">
        <is>
          <t>CASH-FLOW LINES FOR RETURNS</t>
        </is>
      </c>
      <c r="B32" s="5" t="n"/>
      <c r="C32" s="5" t="n"/>
      <c r="D32" s="5" t="n"/>
      <c r="E32" s="5" t="n"/>
      <c r="F32" s="5" t="n"/>
      <c r="G32" s="5" t="n"/>
      <c r="H32" s="5" t="n"/>
      <c r="I32" s="5" t="n"/>
      <c r="J32" s="5" t="n"/>
      <c r="K32" s="5" t="n"/>
      <c r="L32" s="5" t="n"/>
      <c r="M32" s="5" t="n"/>
    </row>
    <row r="33">
      <c r="A33" s="7" t="inlineStr">
        <is>
          <t>Unlevered cash flow</t>
        </is>
      </c>
      <c r="B33" s="8">
        <f>-'Sources &amp; Uses'!$B$11</f>
        <v/>
      </c>
      <c r="C33" s="8">
        <f>C21</f>
        <v/>
      </c>
      <c r="D33" s="8">
        <f>D21</f>
        <v/>
      </c>
      <c r="E33" s="8">
        <f>E21</f>
        <v/>
      </c>
      <c r="F33" s="8">
        <f>F21</f>
        <v/>
      </c>
      <c r="G33" s="8">
        <f>G21</f>
        <v/>
      </c>
      <c r="H33" s="8">
        <f>H21</f>
        <v/>
      </c>
      <c r="I33" s="8">
        <f>I21</f>
        <v/>
      </c>
      <c r="J33" s="8">
        <f>J21</f>
        <v/>
      </c>
      <c r="K33" s="8">
        <f>K21</f>
        <v/>
      </c>
      <c r="L33" s="8">
        <f>L21+L29</f>
        <v/>
      </c>
    </row>
    <row r="34">
      <c r="A34" s="7" t="inlineStr">
        <is>
          <t>Levered cash flow (to equity)</t>
        </is>
      </c>
      <c r="B34" s="8">
        <f>-('Sources &amp; Uses'!$B$15+'Sources &amp; Uses'!$B$16)</f>
        <v/>
      </c>
      <c r="C34" s="8">
        <f>C23</f>
        <v/>
      </c>
      <c r="D34" s="8">
        <f>D23</f>
        <v/>
      </c>
      <c r="E34" s="8">
        <f>E23</f>
        <v/>
      </c>
      <c r="F34" s="8">
        <f>F23</f>
        <v/>
      </c>
      <c r="G34" s="8">
        <f>G23</f>
        <v/>
      </c>
      <c r="H34" s="8">
        <f>H23</f>
        <v/>
      </c>
      <c r="I34" s="8">
        <f>I23</f>
        <v/>
      </c>
      <c r="J34" s="8">
        <f>J23</f>
        <v/>
      </c>
      <c r="K34" s="8">
        <f>K23</f>
        <v/>
      </c>
      <c r="L34" s="8">
        <f>L23+L30</f>
        <v/>
      </c>
    </row>
    <row r="36">
      <c r="A36" s="3" t="inlineStr">
        <is>
          <t>Unlevered flows run off cash flow BEFORE debt against total project cost. Levered flows run off cash flow AFTER debt against equity. The exit is added into the final year of each. These two rows are the only inputs to the IRR and NPV calculations.</t>
        </is>
      </c>
    </row>
  </sheetData>
  <printOptions horizontalCentered="1"/>
  <pageMargins left="0.75" right="0.75" top="1" bottom="1" header="0.5" footer="0.5"/>
  <pageSetup orientation="landscape" fitToHeight="0" fitToWidth="1"/>
  <headerFooter>
    <oddHeader>&amp;L1813 Linden Ave, Memphis, TN 38104&amp;RField Property Partners</oddHeader>
    <oddFooter>&amp;L&amp;A&amp;RPage &amp;P of &amp;N</oddFooter>
    <evenHeader/>
    <evenFooter/>
    <firstHeader/>
    <firstFooter/>
  </headerFooter>
  <legacyDrawing xmlns:r="http://schemas.openxmlformats.org/officeDocument/2006/relationships" r:id="anysvml"/>
</worksheet>
</file>

<file path=xl/worksheets/sheet7.xml><?xml version="1.0" encoding="utf-8"?>
<worksheet xmlns="http://schemas.openxmlformats.org/spreadsheetml/2006/main">
  <sheetPr>
    <outlinePr summaryBelow="1" summaryRight="1"/>
    <pageSetUpPr fitToPage="1"/>
  </sheetPr>
  <dimension ref="A1:G25"/>
  <sheetViews>
    <sheetView showGridLines="0" workbookViewId="0">
      <selection activeCell="A1" sqref="A1"/>
    </sheetView>
  </sheetViews>
  <sheetFormatPr baseColWidth="8" defaultRowHeight="15"/>
  <cols>
    <col width="34" customWidth="1" min="1" max="1"/>
    <col width="16" customWidth="1" min="2" max="2"/>
    <col width="16" customWidth="1" min="3" max="3"/>
    <col width="16" customWidth="1" min="4" max="4"/>
    <col width="16" customWidth="1" min="5" max="5"/>
    <col width="16" customWidth="1" min="6" max="6"/>
    <col width="16" customWidth="1" min="7" max="7"/>
    <col width="16" customWidth="1" min="8" max="8"/>
  </cols>
  <sheetData>
    <row r="1">
      <c r="A1" s="1" t="inlineStr">
        <is>
          <t>DEBT — SIZING &amp; AMORTISATION</t>
        </is>
      </c>
    </row>
    <row r="2">
      <c r="A2" s="2" t="inlineStr">
        <is>
          <t>Level-payment mortgage, amortised monthly, reported annually.</t>
        </is>
      </c>
    </row>
    <row r="4">
      <c r="A4" s="4" t="inlineStr">
        <is>
          <t>SIZING</t>
        </is>
      </c>
      <c r="B4" s="5" t="n"/>
      <c r="C4" s="5" t="n"/>
    </row>
    <row r="5">
      <c r="A5" s="7" t="inlineStr">
        <is>
          <t>Loan amount</t>
        </is>
      </c>
      <c r="B5" s="8">
        <f>'Sources &amp; Uses'!B14</f>
        <v/>
      </c>
      <c r="C5" s="3" t="inlineStr">
        <is>
          <t>From Sources &amp; Uses.</t>
        </is>
      </c>
    </row>
    <row r="6">
      <c r="A6" s="7" t="inlineStr">
        <is>
          <t>Annual debt service</t>
        </is>
      </c>
      <c r="B6" s="8">
        <f>IF(Assumptions!B43=0,B5/Assumptions!B44,PMT(Assumptions!B43/12,Assumptions!B44*12,-B5)*12)</f>
        <v/>
      </c>
      <c r="C6" s="3" t="inlineStr">
        <is>
          <t>Level monthly payment x 12.</t>
        </is>
      </c>
    </row>
    <row r="7">
      <c r="A7" t="inlineStr">
        <is>
          <t>Monthly payment</t>
        </is>
      </c>
      <c r="B7" s="24">
        <f>B6/12</f>
        <v/>
      </c>
    </row>
    <row r="8">
      <c r="A8" s="7" t="inlineStr">
        <is>
          <t>Debt yield</t>
        </is>
      </c>
      <c r="B8" s="10">
        <f>IF(B5=0,0,DCF!C17/B5)</f>
        <v/>
      </c>
      <c r="C8" s="3" t="inlineStr">
        <is>
          <t>Year-1 NOI / loan amount.</t>
        </is>
      </c>
    </row>
    <row r="11">
      <c r="A11" s="4" t="inlineStr">
        <is>
          <t>AMORTISATION SCHEDULE (annual)</t>
        </is>
      </c>
      <c r="B11" s="5" t="n"/>
      <c r="C11" s="5" t="n"/>
    </row>
    <row r="12">
      <c r="A12" s="21" t="inlineStr">
        <is>
          <t>Year</t>
        </is>
      </c>
      <c r="B12" s="21" t="inlineStr">
        <is>
          <t>Beginning balance</t>
        </is>
      </c>
      <c r="C12" s="21" t="inlineStr">
        <is>
          <t>Interest paid</t>
        </is>
      </c>
      <c r="D12" s="21" t="inlineStr">
        <is>
          <t>Ending balance</t>
        </is>
      </c>
      <c r="E12" s="21" t="inlineStr">
        <is>
          <t>Principal repaid</t>
        </is>
      </c>
      <c r="F12" s="21" t="inlineStr">
        <is>
          <t>NOI</t>
        </is>
      </c>
      <c r="G12" s="21" t="inlineStr">
        <is>
          <t>DSCR</t>
        </is>
      </c>
    </row>
    <row r="13">
      <c r="A13" s="14" t="n">
        <v>1</v>
      </c>
      <c r="B13" s="6">
        <f>B5</f>
        <v/>
      </c>
      <c r="C13" s="6">
        <f>$B$6-E13</f>
        <v/>
      </c>
      <c r="D13" s="6">
        <f>IF(Assumptions!$B$43=0,MAX(0,$B$5*(1-$A13*12/(Assumptions!$B$44*12))),MAX(0,$B$5*(1+Assumptions!$B$43/12)^($A13*12)-($B$6/12)*((1+Assumptions!$B$43/12)^($A13*12)-1)/(Assumptions!$B$43/12)))</f>
        <v/>
      </c>
      <c r="E13" s="6">
        <f>B13-D13</f>
        <v/>
      </c>
      <c r="F13" s="6">
        <f>INDEX(DCF!$C$17:$L$17,$A13)</f>
        <v/>
      </c>
      <c r="G13" s="12">
        <f>IF($B$6=0,0,F13/$B$6)</f>
        <v/>
      </c>
    </row>
    <row r="14">
      <c r="A14" s="14" t="n">
        <v>2</v>
      </c>
      <c r="B14" s="6">
        <f>D13</f>
        <v/>
      </c>
      <c r="C14" s="6">
        <f>$B$6-E14</f>
        <v/>
      </c>
      <c r="D14" s="6">
        <f>IF(Assumptions!$B$43=0,MAX(0,$B$5*(1-$A14*12/(Assumptions!$B$44*12))),MAX(0,$B$5*(1+Assumptions!$B$43/12)^($A14*12)-($B$6/12)*((1+Assumptions!$B$43/12)^($A14*12)-1)/(Assumptions!$B$43/12)))</f>
        <v/>
      </c>
      <c r="E14" s="6">
        <f>B14-D14</f>
        <v/>
      </c>
      <c r="F14" s="6">
        <f>INDEX(DCF!$C$17:$L$17,$A14)</f>
        <v/>
      </c>
      <c r="G14" s="12">
        <f>IF($B$6=0,0,F14/$B$6)</f>
        <v/>
      </c>
    </row>
    <row r="15">
      <c r="A15" s="14" t="n">
        <v>3</v>
      </c>
      <c r="B15" s="6">
        <f>D14</f>
        <v/>
      </c>
      <c r="C15" s="6">
        <f>$B$6-E15</f>
        <v/>
      </c>
      <c r="D15" s="6">
        <f>IF(Assumptions!$B$43=0,MAX(0,$B$5*(1-$A15*12/(Assumptions!$B$44*12))),MAX(0,$B$5*(1+Assumptions!$B$43/12)^($A15*12)-($B$6/12)*((1+Assumptions!$B$43/12)^($A15*12)-1)/(Assumptions!$B$43/12)))</f>
        <v/>
      </c>
      <c r="E15" s="6">
        <f>B15-D15</f>
        <v/>
      </c>
      <c r="F15" s="6">
        <f>INDEX(DCF!$C$17:$L$17,$A15)</f>
        <v/>
      </c>
      <c r="G15" s="12">
        <f>IF($B$6=0,0,F15/$B$6)</f>
        <v/>
      </c>
    </row>
    <row r="16">
      <c r="A16" s="14" t="n">
        <v>4</v>
      </c>
      <c r="B16" s="6">
        <f>D15</f>
        <v/>
      </c>
      <c r="C16" s="6">
        <f>$B$6-E16</f>
        <v/>
      </c>
      <c r="D16" s="6">
        <f>IF(Assumptions!$B$43=0,MAX(0,$B$5*(1-$A16*12/(Assumptions!$B$44*12))),MAX(0,$B$5*(1+Assumptions!$B$43/12)^($A16*12)-($B$6/12)*((1+Assumptions!$B$43/12)^($A16*12)-1)/(Assumptions!$B$43/12)))</f>
        <v/>
      </c>
      <c r="E16" s="6">
        <f>B16-D16</f>
        <v/>
      </c>
      <c r="F16" s="6">
        <f>INDEX(DCF!$C$17:$L$17,$A16)</f>
        <v/>
      </c>
      <c r="G16" s="12">
        <f>IF($B$6=0,0,F16/$B$6)</f>
        <v/>
      </c>
    </row>
    <row r="17">
      <c r="A17" s="14" t="n">
        <v>5</v>
      </c>
      <c r="B17" s="6">
        <f>D16</f>
        <v/>
      </c>
      <c r="C17" s="6">
        <f>$B$6-E17</f>
        <v/>
      </c>
      <c r="D17" s="6">
        <f>IF(Assumptions!$B$43=0,MAX(0,$B$5*(1-$A17*12/(Assumptions!$B$44*12))),MAX(0,$B$5*(1+Assumptions!$B$43/12)^($A17*12)-($B$6/12)*((1+Assumptions!$B$43/12)^($A17*12)-1)/(Assumptions!$B$43/12)))</f>
        <v/>
      </c>
      <c r="E17" s="6">
        <f>B17-D17</f>
        <v/>
      </c>
      <c r="F17" s="6">
        <f>INDEX(DCF!$C$17:$L$17,$A17)</f>
        <v/>
      </c>
      <c r="G17" s="12">
        <f>IF($B$6=0,0,F17/$B$6)</f>
        <v/>
      </c>
    </row>
    <row r="18">
      <c r="A18" s="14" t="n">
        <v>6</v>
      </c>
      <c r="B18" s="6">
        <f>D17</f>
        <v/>
      </c>
      <c r="C18" s="6">
        <f>$B$6-E18</f>
        <v/>
      </c>
      <c r="D18" s="6">
        <f>IF(Assumptions!$B$43=0,MAX(0,$B$5*(1-$A18*12/(Assumptions!$B$44*12))),MAX(0,$B$5*(1+Assumptions!$B$43/12)^($A18*12)-($B$6/12)*((1+Assumptions!$B$43/12)^($A18*12)-1)/(Assumptions!$B$43/12)))</f>
        <v/>
      </c>
      <c r="E18" s="6">
        <f>B18-D18</f>
        <v/>
      </c>
      <c r="F18" s="6">
        <f>INDEX(DCF!$C$17:$L$17,$A18)</f>
        <v/>
      </c>
      <c r="G18" s="12">
        <f>IF($B$6=0,0,F18/$B$6)</f>
        <v/>
      </c>
    </row>
    <row r="19">
      <c r="A19" s="14" t="n">
        <v>7</v>
      </c>
      <c r="B19" s="6">
        <f>D18</f>
        <v/>
      </c>
      <c r="C19" s="6">
        <f>$B$6-E19</f>
        <v/>
      </c>
      <c r="D19" s="6">
        <f>IF(Assumptions!$B$43=0,MAX(0,$B$5*(1-$A19*12/(Assumptions!$B$44*12))),MAX(0,$B$5*(1+Assumptions!$B$43/12)^($A19*12)-($B$6/12)*((1+Assumptions!$B$43/12)^($A19*12)-1)/(Assumptions!$B$43/12)))</f>
        <v/>
      </c>
      <c r="E19" s="6">
        <f>B19-D19</f>
        <v/>
      </c>
      <c r="F19" s="6">
        <f>INDEX(DCF!$C$17:$L$17,$A19)</f>
        <v/>
      </c>
      <c r="G19" s="12">
        <f>IF($B$6=0,0,F19/$B$6)</f>
        <v/>
      </c>
    </row>
    <row r="20">
      <c r="A20" s="14" t="n">
        <v>8</v>
      </c>
      <c r="B20" s="6">
        <f>D19</f>
        <v/>
      </c>
      <c r="C20" s="6">
        <f>$B$6-E20</f>
        <v/>
      </c>
      <c r="D20" s="6">
        <f>IF(Assumptions!$B$43=0,MAX(0,$B$5*(1-$A20*12/(Assumptions!$B$44*12))),MAX(0,$B$5*(1+Assumptions!$B$43/12)^($A20*12)-($B$6/12)*((1+Assumptions!$B$43/12)^($A20*12)-1)/(Assumptions!$B$43/12)))</f>
        <v/>
      </c>
      <c r="E20" s="6">
        <f>B20-D20</f>
        <v/>
      </c>
      <c r="F20" s="6">
        <f>INDEX(DCF!$C$17:$L$17,$A20)</f>
        <v/>
      </c>
      <c r="G20" s="12">
        <f>IF($B$6=0,0,F20/$B$6)</f>
        <v/>
      </c>
    </row>
    <row r="21">
      <c r="A21" s="14" t="n">
        <v>9</v>
      </c>
      <c r="B21" s="6">
        <f>D20</f>
        <v/>
      </c>
      <c r="C21" s="6">
        <f>$B$6-E21</f>
        <v/>
      </c>
      <c r="D21" s="6">
        <f>IF(Assumptions!$B$43=0,MAX(0,$B$5*(1-$A21*12/(Assumptions!$B$44*12))),MAX(0,$B$5*(1+Assumptions!$B$43/12)^($A21*12)-($B$6/12)*((1+Assumptions!$B$43/12)^($A21*12)-1)/(Assumptions!$B$43/12)))</f>
        <v/>
      </c>
      <c r="E21" s="6">
        <f>B21-D21</f>
        <v/>
      </c>
      <c r="F21" s="6">
        <f>INDEX(DCF!$C$17:$L$17,$A21)</f>
        <v/>
      </c>
      <c r="G21" s="12">
        <f>IF($B$6=0,0,F21/$B$6)</f>
        <v/>
      </c>
    </row>
    <row r="22">
      <c r="A22" s="14" t="n">
        <v>10</v>
      </c>
      <c r="B22" s="6">
        <f>D21</f>
        <v/>
      </c>
      <c r="C22" s="6">
        <f>$B$6-E22</f>
        <v/>
      </c>
      <c r="D22" s="6">
        <f>IF(Assumptions!$B$43=0,MAX(0,$B$5*(1-$A22*12/(Assumptions!$B$44*12))),MAX(0,$B$5*(1+Assumptions!$B$43/12)^($A22*12)-($B$6/12)*((1+Assumptions!$B$43/12)^($A22*12)-1)/(Assumptions!$B$43/12)))</f>
        <v/>
      </c>
      <c r="E22" s="6">
        <f>B22-D22</f>
        <v/>
      </c>
      <c r="F22" s="6">
        <f>INDEX(DCF!$C$17:$L$17,$A22)</f>
        <v/>
      </c>
      <c r="G22" s="12">
        <f>IF($B$6=0,0,F22/$B$6)</f>
        <v/>
      </c>
    </row>
    <row r="24">
      <c r="A24" s="7" t="inlineStr">
        <is>
          <t>Minimum DSCR over the hold</t>
        </is>
      </c>
      <c r="B24" s="12">
        <f>MIN(G13:G22)</f>
        <v/>
      </c>
      <c r="C24" s="3" t="inlineStr">
        <is>
          <t>Lenders size to the weakest year.</t>
        </is>
      </c>
    </row>
    <row r="25">
      <c r="A25" s="7" t="inlineStr">
        <is>
          <t>Balance at exit</t>
        </is>
      </c>
      <c r="B25" s="8">
        <f>D22</f>
        <v/>
      </c>
      <c r="C25" s="3" t="inlineStr">
        <is>
          <t>Repaid out of sale proceeds.</t>
        </is>
      </c>
    </row>
  </sheetData>
  <printOptions horizontalCentered="1"/>
  <pageMargins left="0.75" right="0.75" top="1" bottom="1" header="0.5" footer="0.5"/>
  <pageSetup orientation="landscape" fitToHeight="0" fitToWidth="1"/>
  <headerFooter>
    <oddHeader>&amp;L1813 Linden Ave, Memphis, TN 38104&amp;RField Property Partners</oddHeader>
    <oddFooter>&amp;L&amp;A&amp;RPage &amp;P of &amp;N</oddFooter>
    <evenHeader/>
    <evenFooter/>
    <firstHeader/>
    <firstFooter/>
  </headerFooter>
  <legacyDrawing xmlns:r="http://schemas.openxmlformats.org/officeDocument/2006/relationships" r:id="anysvml"/>
</worksheet>
</file>

<file path=xl/worksheets/sheet8.xml><?xml version="1.0" encoding="utf-8"?>
<worksheet xmlns="http://schemas.openxmlformats.org/spreadsheetml/2006/main">
  <sheetPr>
    <outlinePr summaryBelow="1" summaryRight="1"/>
    <pageSetUpPr fitToPage="1"/>
  </sheetPr>
  <dimension ref="A1:K33"/>
  <sheetViews>
    <sheetView showGridLines="0" workbookViewId="0">
      <selection activeCell="A1" sqref="A1"/>
    </sheetView>
  </sheetViews>
  <sheetFormatPr baseColWidth="8" defaultRowHeight="15"/>
  <cols>
    <col width="38" customWidth="1" min="1" max="1"/>
    <col width="16" customWidth="1" min="2" max="2"/>
    <col width="58" customWidth="1" min="3" max="3"/>
  </cols>
  <sheetData>
    <row r="1">
      <c r="A1" s="1" t="inlineStr">
        <is>
          <t>RETURNS</t>
        </is>
      </c>
    </row>
    <row r="2">
      <c r="A2" s="2" t="inlineStr">
        <is>
          <t>Levered and unlevered, standard definitions.</t>
        </is>
      </c>
    </row>
    <row r="4">
      <c r="A4" s="4" t="inlineStr">
        <is>
          <t>CAPITALISATION</t>
        </is>
      </c>
      <c r="B4" s="5" t="n"/>
      <c r="C4" s="5" t="n"/>
    </row>
    <row r="5">
      <c r="A5" s="7" t="inlineStr">
        <is>
          <t>Total project cost (uses)</t>
        </is>
      </c>
      <c r="B5" s="8">
        <f>'Sources &amp; Uses'!B11</f>
        <v/>
      </c>
      <c r="C5" s="3" t="inlineStr">
        <is>
          <t>From Sources &amp; Uses.</t>
        </is>
      </c>
    </row>
    <row r="6">
      <c r="A6" s="7" t="inlineStr">
        <is>
          <t>Total equity (pref + common)</t>
        </is>
      </c>
      <c r="B6" s="8">
        <f>'Sources &amp; Uses'!B15+'Sources &amp; Uses'!B16</f>
        <v/>
      </c>
      <c r="C6" s="3" t="inlineStr">
        <is>
          <t>From Sources &amp; Uses.</t>
        </is>
      </c>
    </row>
    <row r="7">
      <c r="A7" t="inlineStr">
        <is>
          <t>Senior debt</t>
        </is>
      </c>
      <c r="B7" s="6">
        <f>'Sources &amp; Uses'!B14</f>
        <v/>
      </c>
    </row>
    <row r="9">
      <c r="A9" s="4" t="inlineStr">
        <is>
          <t>YIELD MEASURES</t>
        </is>
      </c>
      <c r="B9" s="5" t="n"/>
      <c r="C9" s="5" t="n"/>
    </row>
    <row r="10">
      <c r="A10" s="7" t="inlineStr">
        <is>
          <t>Going-in cap rate</t>
        </is>
      </c>
      <c r="B10" s="10">
        <f>IF(Assumptions!B17=0,0,DCF!C17/Assumptions!B17)</f>
        <v/>
      </c>
      <c r="C10" s="3" t="inlineStr">
        <is>
          <t>Year-1 NOI / purchase price.</t>
        </is>
      </c>
    </row>
    <row r="11">
      <c r="A11" t="inlineStr">
        <is>
          <t>Yield on cost</t>
        </is>
      </c>
      <c r="B11" s="11">
        <f>IF(B5=0,0,DCF!C17/B5)</f>
        <v/>
      </c>
      <c r="C11" s="3" t="inlineStr">
        <is>
          <t>Year-1 NOI / total project cost.</t>
        </is>
      </c>
    </row>
    <row r="12">
      <c r="A12" s="7" t="inlineStr">
        <is>
          <t>Debt yield</t>
        </is>
      </c>
      <c r="B12" s="10">
        <f>Debt!B8</f>
        <v/>
      </c>
      <c r="C12" s="3" t="inlineStr">
        <is>
          <t>Year-1 NOI / loan amount.</t>
        </is>
      </c>
    </row>
    <row r="13">
      <c r="A13" t="inlineStr">
        <is>
          <t>Exit cap rate (assumed)</t>
        </is>
      </c>
      <c r="B13" s="11">
        <f>Assumptions!B51</f>
        <v/>
      </c>
    </row>
    <row r="14">
      <c r="A14" t="inlineStr">
        <is>
          <t>Yield on cost less exit cap</t>
        </is>
      </c>
      <c r="B14" s="11">
        <f>B11-B13</f>
        <v/>
      </c>
      <c r="C14" s="3" t="inlineStr">
        <is>
          <t>Positive = value created over the hold.</t>
        </is>
      </c>
    </row>
    <row r="16">
      <c r="A16" s="4" t="inlineStr">
        <is>
          <t>RETURNS — UNLEVERED</t>
        </is>
      </c>
      <c r="B16" s="5" t="n"/>
      <c r="C16" s="5" t="n"/>
    </row>
    <row r="17">
      <c r="A17" s="7" t="inlineStr">
        <is>
          <t>Unlevered IRR</t>
        </is>
      </c>
      <c r="B17" s="10">
        <f>IFERROR(IRR(DCF!B33:L33),"n/a")</f>
        <v/>
      </c>
      <c r="C17" s="3" t="inlineStr">
        <is>
          <t>Off the unlevered cash-flow line.</t>
        </is>
      </c>
    </row>
    <row r="18">
      <c r="A18" t="inlineStr">
        <is>
          <t>Unlevered NPV at discount rate</t>
        </is>
      </c>
      <c r="B18" s="6">
        <f>NPV(Assumptions!B48,DCF!C33:L33)+DCF!B33</f>
        <v/>
      </c>
    </row>
    <row r="19">
      <c r="A19" t="inlineStr">
        <is>
          <t>Unlevered equity multiple</t>
        </is>
      </c>
      <c r="B19" s="25">
        <f>IF(SUMIF(DCF!B33:L33,"&lt;0")=0,"n/a",-SUMIF(DCF!B33:L33,"&gt;0")/SUMIF(DCF!B33:L33,"&lt;0"))</f>
        <v/>
      </c>
    </row>
    <row r="21">
      <c r="A21" s="4" t="inlineStr">
        <is>
          <t>RETURNS — LEVERED (TO EQUITY)</t>
        </is>
      </c>
      <c r="B21" s="5" t="n"/>
      <c r="C21" s="5" t="n"/>
    </row>
    <row r="22">
      <c r="A22" s="7" t="inlineStr">
        <is>
          <t>Levered IRR</t>
        </is>
      </c>
      <c r="B22" s="10">
        <f>IFERROR(IRR(DCF!B34:L34),"n/a")</f>
        <v/>
      </c>
      <c r="C22" s="3" t="inlineStr">
        <is>
          <t>Off the levered cash-flow line.</t>
        </is>
      </c>
    </row>
    <row r="23">
      <c r="A23" s="7" t="inlineStr">
        <is>
          <t>Levered NPV at discount rate</t>
        </is>
      </c>
      <c r="B23" s="8">
        <f>NPV(Assumptions!B48,DCF!C34:L34)+DCF!B34</f>
        <v/>
      </c>
    </row>
    <row r="24">
      <c r="A24" s="7" t="inlineStr">
        <is>
          <t>Levered equity multiple (MOIC)</t>
        </is>
      </c>
      <c r="B24" s="12">
        <f>IF(SUMIF(DCF!B34:L34,"&lt;0")=0,"n/a",-SUMIF(DCF!B34:L34,"&gt;0")/SUMIF(DCF!B34:L34,"&lt;0"))</f>
        <v/>
      </c>
    </row>
    <row r="25">
      <c r="A25" t="inlineStr">
        <is>
          <t>Profit to equity</t>
        </is>
      </c>
      <c r="B25" s="6">
        <f>SUM(DCF!C34:L34)-B6</f>
        <v/>
      </c>
    </row>
    <row r="27">
      <c r="A27" s="4" t="inlineStr">
        <is>
          <t>CASH-ON-CASH BY YEAR</t>
        </is>
      </c>
      <c r="B27" s="5" t="n"/>
      <c r="C27" s="5" t="n"/>
    </row>
    <row r="29">
      <c r="A29" s="21" t="inlineStr">
        <is>
          <t>Year</t>
        </is>
      </c>
      <c r="B29" s="21" t="inlineStr">
        <is>
          <t>1</t>
        </is>
      </c>
      <c r="C29" s="21" t="inlineStr">
        <is>
          <t>2</t>
        </is>
      </c>
      <c r="D29" s="21" t="inlineStr">
        <is>
          <t>3</t>
        </is>
      </c>
      <c r="E29" s="21" t="inlineStr">
        <is>
          <t>4</t>
        </is>
      </c>
      <c r="F29" s="21" t="inlineStr">
        <is>
          <t>5</t>
        </is>
      </c>
      <c r="G29" s="21" t="inlineStr">
        <is>
          <t>6</t>
        </is>
      </c>
      <c r="H29" s="21" t="inlineStr">
        <is>
          <t>7</t>
        </is>
      </c>
      <c r="I29" s="21" t="inlineStr">
        <is>
          <t>8</t>
        </is>
      </c>
      <c r="J29" s="21" t="inlineStr">
        <is>
          <t>9</t>
        </is>
      </c>
      <c r="K29" s="21" t="inlineStr">
        <is>
          <t>10</t>
        </is>
      </c>
    </row>
    <row r="30">
      <c r="A30" s="7" t="inlineStr">
        <is>
          <t>Cash flow after debt</t>
        </is>
      </c>
      <c r="B30" s="6">
        <f>DCF!C23</f>
        <v/>
      </c>
      <c r="C30" s="6">
        <f>DCF!D23</f>
        <v/>
      </c>
      <c r="D30" s="6">
        <f>DCF!E23</f>
        <v/>
      </c>
      <c r="E30" s="6">
        <f>DCF!F23</f>
        <v/>
      </c>
      <c r="F30" s="6">
        <f>DCF!G23</f>
        <v/>
      </c>
      <c r="G30" s="6">
        <f>DCF!H23</f>
        <v/>
      </c>
      <c r="H30" s="6">
        <f>DCF!I23</f>
        <v/>
      </c>
      <c r="I30" s="6">
        <f>DCF!J23</f>
        <v/>
      </c>
      <c r="J30" s="6">
        <f>DCF!K23</f>
        <v/>
      </c>
      <c r="K30" s="6">
        <f>DCF!L23</f>
        <v/>
      </c>
    </row>
    <row r="31">
      <c r="A31" s="7" t="inlineStr">
        <is>
          <t>Cash-on-cash</t>
        </is>
      </c>
      <c r="B31" s="10">
        <f>IF($B$6=0,0,B30/$B$6)</f>
        <v/>
      </c>
      <c r="C31" s="10">
        <f>IF($B$6=0,0,C30/$B$6)</f>
        <v/>
      </c>
      <c r="D31" s="10">
        <f>IF($B$6=0,0,D30/$B$6)</f>
        <v/>
      </c>
      <c r="E31" s="10">
        <f>IF($B$6=0,0,E30/$B$6)</f>
        <v/>
      </c>
      <c r="F31" s="10">
        <f>IF($B$6=0,0,F30/$B$6)</f>
        <v/>
      </c>
      <c r="G31" s="10">
        <f>IF($B$6=0,0,G30/$B$6)</f>
        <v/>
      </c>
      <c r="H31" s="10">
        <f>IF($B$6=0,0,H30/$B$6)</f>
        <v/>
      </c>
      <c r="I31" s="10">
        <f>IF($B$6=0,0,I30/$B$6)</f>
        <v/>
      </c>
      <c r="J31" s="10">
        <f>IF($B$6=0,0,J30/$B$6)</f>
        <v/>
      </c>
      <c r="K31" s="10">
        <f>IF($B$6=0,0,K30/$B$6)</f>
        <v/>
      </c>
    </row>
    <row r="33">
      <c r="A33" s="3" t="inlineStr">
        <is>
          <t>Cash-on-cash excludes sale proceeds by convention. The exit appears in the IRR and the equity multiple, not in an operating yield.</t>
        </is>
      </c>
    </row>
  </sheetData>
  <printOptions horizontalCentered="1"/>
  <pageMargins left="0.75" right="0.75" top="1" bottom="1" header="0.5" footer="0.5"/>
  <pageSetup orientation="landscape" fitToHeight="0" fitToWidth="1"/>
  <headerFooter>
    <oddHeader>&amp;L1813 Linden Ave, Memphis, TN 38104&amp;RField Property Partners</oddHeader>
    <oddFooter>&amp;L&amp;A&amp;RPage &amp;P of &amp;N</oddFooter>
    <evenHeader/>
    <evenFooter/>
    <firstHeader/>
    <firstFooter/>
  </headerFooter>
  <legacyDrawing xmlns:r="http://schemas.openxmlformats.org/officeDocument/2006/relationships" r:id="anysvml"/>
</worksheet>
</file>

<file path=xl/worksheets/sheet9.xml><?xml version="1.0" encoding="utf-8"?>
<worksheet xmlns="http://schemas.openxmlformats.org/spreadsheetml/2006/main">
  <sheetPr>
    <outlinePr summaryBelow="1" summaryRight="1"/>
    <pageSetUpPr fitToPage="1"/>
  </sheetPr>
  <dimension ref="A1:L39"/>
  <sheetViews>
    <sheetView showGridLines="0" workbookViewId="0">
      <selection activeCell="A1" sqref="A1"/>
    </sheetView>
  </sheetViews>
  <sheetFormatPr baseColWidth="8" defaultRowHeight="15"/>
  <cols>
    <col width="42" customWidth="1" min="1" max="1"/>
    <col width="13" customWidth="1" min="2" max="2"/>
    <col width="13" customWidth="1" min="3" max="3"/>
    <col width="13" customWidth="1" min="4" max="4"/>
    <col width="13" customWidth="1" min="5" max="5"/>
    <col width="13" customWidth="1" min="6" max="6"/>
    <col width="13" customWidth="1" min="7" max="7"/>
    <col width="13" customWidth="1" min="8" max="8"/>
    <col width="13" customWidth="1" min="9" max="9"/>
    <col width="13" customWidth="1" min="10" max="10"/>
    <col width="13" customWidth="1" min="11" max="11"/>
    <col width="13" customWidth="1" min="12" max="12"/>
    <col width="13" customWidth="1" min="13" max="13"/>
  </cols>
  <sheetData>
    <row r="1">
      <c r="A1" s="1" t="inlineStr">
        <is>
          <t>EQUITY WATERFALL — LP / GP DISTRIBUTIONS</t>
        </is>
      </c>
    </row>
    <row r="2">
      <c r="A2" s="2" t="inlineStr">
        <is>
          <t>Return of capital, preferred return, GP catch-up, residual split.</t>
        </is>
      </c>
      <c r="C2" s="3" t="inlineStr">
        <is>
          <t>INSTITUTIONAL / MULTI-INVESTOR DEALS ONLY. A solo wholesale assignment has no LP capital and no promote — see the note at the foot of this tab.</t>
        </is>
      </c>
    </row>
    <row r="4">
      <c r="A4" s="21" t="inlineStr">
        <is>
          <t>Line item</t>
        </is>
      </c>
      <c r="B4" s="21" t="inlineStr">
        <is>
          <t>Year 1</t>
        </is>
      </c>
      <c r="C4" s="21" t="inlineStr">
        <is>
          <t>Year 2</t>
        </is>
      </c>
      <c r="D4" s="21" t="inlineStr">
        <is>
          <t>Year 3</t>
        </is>
      </c>
      <c r="E4" s="21" t="inlineStr">
        <is>
          <t>Year 4</t>
        </is>
      </c>
      <c r="F4" s="21" t="inlineStr">
        <is>
          <t>Year 5</t>
        </is>
      </c>
      <c r="G4" s="21" t="inlineStr">
        <is>
          <t>Year 6</t>
        </is>
      </c>
      <c r="H4" s="21" t="inlineStr">
        <is>
          <t>Year 7</t>
        </is>
      </c>
      <c r="I4" s="21" t="inlineStr">
        <is>
          <t>Year 8</t>
        </is>
      </c>
      <c r="J4" s="21" t="inlineStr">
        <is>
          <t>Year 9</t>
        </is>
      </c>
      <c r="K4" s="21" t="inlineStr">
        <is>
          <t>Year 10</t>
        </is>
      </c>
      <c r="L4" s="21" t="inlineStr">
        <is>
          <t>Total</t>
        </is>
      </c>
    </row>
    <row r="5">
      <c r="A5" s="17" t="inlineStr">
        <is>
          <t>Levered cash flow to equity</t>
        </is>
      </c>
      <c r="B5" s="18">
        <f>DCF!C34</f>
        <v/>
      </c>
      <c r="C5" s="18">
        <f>DCF!D34</f>
        <v/>
      </c>
      <c r="D5" s="18">
        <f>DCF!E34</f>
        <v/>
      </c>
      <c r="E5" s="18">
        <f>DCF!F34</f>
        <v/>
      </c>
      <c r="F5" s="18">
        <f>DCF!G34</f>
        <v/>
      </c>
      <c r="G5" s="18">
        <f>DCF!H34</f>
        <v/>
      </c>
      <c r="H5" s="18">
        <f>DCF!I34</f>
        <v/>
      </c>
      <c r="I5" s="18">
        <f>DCF!J34</f>
        <v/>
      </c>
      <c r="J5" s="18">
        <f>DCF!K34</f>
        <v/>
      </c>
      <c r="K5" s="18">
        <f>DCF!L34</f>
        <v/>
      </c>
      <c r="L5" s="8">
        <f>SUM(B5:K5)</f>
        <v/>
      </c>
    </row>
    <row r="6">
      <c r="A6" s="17" t="inlineStr">
        <is>
          <t>Distributable cash (capital calls excluded)</t>
        </is>
      </c>
      <c r="B6" s="18">
        <f>MAX(0,B5)</f>
        <v/>
      </c>
      <c r="C6" s="18">
        <f>MAX(0,C5)</f>
        <v/>
      </c>
      <c r="D6" s="18">
        <f>MAX(0,D5)</f>
        <v/>
      </c>
      <c r="E6" s="18">
        <f>MAX(0,E5)</f>
        <v/>
      </c>
      <c r="F6" s="18">
        <f>MAX(0,F5)</f>
        <v/>
      </c>
      <c r="G6" s="18">
        <f>MAX(0,G5)</f>
        <v/>
      </c>
      <c r="H6" s="18">
        <f>MAX(0,H5)</f>
        <v/>
      </c>
      <c r="I6" s="18">
        <f>MAX(0,I5)</f>
        <v/>
      </c>
      <c r="J6" s="18">
        <f>MAX(0,J5)</f>
        <v/>
      </c>
      <c r="K6" s="18">
        <f>MAX(0,K5)</f>
        <v/>
      </c>
      <c r="L6" s="8">
        <f>SUM(B6:K6)</f>
        <v/>
      </c>
    </row>
    <row r="8">
      <c r="A8" s="4" t="inlineStr">
        <is>
          <t>TIER 1 — RETURN OF CAPITAL (pari passu, LP and GP co-invest)</t>
        </is>
      </c>
      <c r="B8" s="5" t="n"/>
      <c r="C8" s="5" t="n"/>
      <c r="D8" s="5" t="n"/>
      <c r="E8" s="5" t="n"/>
      <c r="F8" s="5" t="n"/>
      <c r="G8" s="5" t="n"/>
      <c r="H8" s="5" t="n"/>
      <c r="I8" s="5" t="n"/>
      <c r="J8" s="5" t="n"/>
      <c r="K8" s="5" t="n"/>
      <c r="L8" s="5" t="n"/>
    </row>
    <row r="9">
      <c r="A9" t="inlineStr">
        <is>
          <t xml:space="preserve">  Additional capital called</t>
        </is>
      </c>
      <c r="B9" s="6">
        <f>MAX(0,-B5)</f>
        <v/>
      </c>
      <c r="C9" s="6">
        <f>MAX(0,-C5)</f>
        <v/>
      </c>
      <c r="D9" s="6">
        <f>MAX(0,-D5)</f>
        <v/>
      </c>
      <c r="E9" s="6">
        <f>MAX(0,-E5)</f>
        <v/>
      </c>
      <c r="F9" s="6">
        <f>MAX(0,-F5)</f>
        <v/>
      </c>
      <c r="G9" s="6">
        <f>MAX(0,-G5)</f>
        <v/>
      </c>
      <c r="H9" s="6">
        <f>MAX(0,-H5)</f>
        <v/>
      </c>
      <c r="I9" s="6">
        <f>MAX(0,-I5)</f>
        <v/>
      </c>
      <c r="J9" s="6">
        <f>MAX(0,-J5)</f>
        <v/>
      </c>
      <c r="K9" s="6">
        <f>MAX(0,-K5)</f>
        <v/>
      </c>
      <c r="L9" s="8">
        <f>SUM(B9:K9)</f>
        <v/>
      </c>
    </row>
    <row r="10">
      <c r="A10" t="inlineStr">
        <is>
          <t>Unreturned capital, opening</t>
        </is>
      </c>
      <c r="B10" s="6">
        <f>Returns!$B$6+B9</f>
        <v/>
      </c>
      <c r="C10" s="6">
        <f>B12+C9</f>
        <v/>
      </c>
      <c r="D10" s="6">
        <f>C12+D9</f>
        <v/>
      </c>
      <c r="E10" s="6">
        <f>D12+E9</f>
        <v/>
      </c>
      <c r="F10" s="6">
        <f>E12+F9</f>
        <v/>
      </c>
      <c r="G10" s="6">
        <f>F12+G9</f>
        <v/>
      </c>
      <c r="H10" s="6">
        <f>G12+H9</f>
        <v/>
      </c>
      <c r="I10" s="6">
        <f>H12+I9</f>
        <v/>
      </c>
      <c r="J10" s="6">
        <f>I12+J9</f>
        <v/>
      </c>
      <c r="K10" s="6">
        <f>J12+K9</f>
        <v/>
      </c>
    </row>
    <row r="11">
      <c r="A11" t="inlineStr">
        <is>
          <t xml:space="preserve">  Capital returned</t>
        </is>
      </c>
      <c r="B11" s="6">
        <f>MIN(B10,B6)</f>
        <v/>
      </c>
      <c r="C11" s="6">
        <f>MIN(C10,C6)</f>
        <v/>
      </c>
      <c r="D11" s="6">
        <f>MIN(D10,D6)</f>
        <v/>
      </c>
      <c r="E11" s="6">
        <f>MIN(E10,E6)</f>
        <v/>
      </c>
      <c r="F11" s="6">
        <f>MIN(F10,F6)</f>
        <v/>
      </c>
      <c r="G11" s="6">
        <f>MIN(G10,G6)</f>
        <v/>
      </c>
      <c r="H11" s="6">
        <f>MIN(H10,H6)</f>
        <v/>
      </c>
      <c r="I11" s="6">
        <f>MIN(I10,I6)</f>
        <v/>
      </c>
      <c r="J11" s="6">
        <f>MIN(J10,J6)</f>
        <v/>
      </c>
      <c r="K11" s="6">
        <f>MIN(K10,K6)</f>
        <v/>
      </c>
      <c r="L11" s="8">
        <f>SUM(B11:K11)</f>
        <v/>
      </c>
    </row>
    <row r="12">
      <c r="A12" s="17" t="inlineStr">
        <is>
          <t>Unreturned capital, closing</t>
        </is>
      </c>
      <c r="B12" s="18">
        <f>B10-B11</f>
        <v/>
      </c>
      <c r="C12" s="18">
        <f>C10-C11</f>
        <v/>
      </c>
      <c r="D12" s="18">
        <f>D10-D11</f>
        <v/>
      </c>
      <c r="E12" s="18">
        <f>E10-E11</f>
        <v/>
      </c>
      <c r="F12" s="18">
        <f>F10-F11</f>
        <v/>
      </c>
      <c r="G12" s="18">
        <f>G10-G11</f>
        <v/>
      </c>
      <c r="H12" s="18">
        <f>H10-H11</f>
        <v/>
      </c>
      <c r="I12" s="18">
        <f>I10-I11</f>
        <v/>
      </c>
      <c r="J12" s="18">
        <f>J10-J11</f>
        <v/>
      </c>
      <c r="K12" s="18">
        <f>K10-K11</f>
        <v/>
      </c>
    </row>
    <row r="13">
      <c r="A13" t="inlineStr">
        <is>
          <t xml:space="preserve">    of which to LP</t>
        </is>
      </c>
      <c r="B13" s="6">
        <f>B11*Assumptions!$B$58</f>
        <v/>
      </c>
      <c r="C13" s="6">
        <f>C11*Assumptions!$B$58</f>
        <v/>
      </c>
      <c r="D13" s="6">
        <f>D11*Assumptions!$B$58</f>
        <v/>
      </c>
      <c r="E13" s="6">
        <f>E11*Assumptions!$B$58</f>
        <v/>
      </c>
      <c r="F13" s="6">
        <f>F11*Assumptions!$B$58</f>
        <v/>
      </c>
      <c r="G13" s="6">
        <f>G11*Assumptions!$B$58</f>
        <v/>
      </c>
      <c r="H13" s="6">
        <f>H11*Assumptions!$B$58</f>
        <v/>
      </c>
      <c r="I13" s="6">
        <f>I11*Assumptions!$B$58</f>
        <v/>
      </c>
      <c r="J13" s="6">
        <f>J11*Assumptions!$B$58</f>
        <v/>
      </c>
      <c r="K13" s="6">
        <f>K11*Assumptions!$B$58</f>
        <v/>
      </c>
      <c r="L13" s="8">
        <f>SUM(B13:K13)</f>
        <v/>
      </c>
    </row>
    <row r="14">
      <c r="A14" t="inlineStr">
        <is>
          <t xml:space="preserve">    of which to GP co-invest</t>
        </is>
      </c>
      <c r="B14" s="6">
        <f>B11*(1-Assumptions!$B$58)</f>
        <v/>
      </c>
      <c r="C14" s="6">
        <f>C11*(1-Assumptions!$B$58)</f>
        <v/>
      </c>
      <c r="D14" s="6">
        <f>D11*(1-Assumptions!$B$58)</f>
        <v/>
      </c>
      <c r="E14" s="6">
        <f>E11*(1-Assumptions!$B$58)</f>
        <v/>
      </c>
      <c r="F14" s="6">
        <f>F11*(1-Assumptions!$B$58)</f>
        <v/>
      </c>
      <c r="G14" s="6">
        <f>G11*(1-Assumptions!$B$58)</f>
        <v/>
      </c>
      <c r="H14" s="6">
        <f>H11*(1-Assumptions!$B$58)</f>
        <v/>
      </c>
      <c r="I14" s="6">
        <f>I11*(1-Assumptions!$B$58)</f>
        <v/>
      </c>
      <c r="J14" s="6">
        <f>J11*(1-Assumptions!$B$58)</f>
        <v/>
      </c>
      <c r="K14" s="6">
        <f>K11*(1-Assumptions!$B$58)</f>
        <v/>
      </c>
      <c r="L14" s="8">
        <f>SUM(B14:K14)</f>
        <v/>
      </c>
    </row>
    <row r="16">
      <c r="A16" s="4" t="inlineStr">
        <is>
          <t>TIER 2 — PREFERRED RETURN (pari passu on unreturned capital)</t>
        </is>
      </c>
      <c r="B16" s="5" t="n"/>
      <c r="C16" s="5" t="n"/>
      <c r="D16" s="5" t="n"/>
      <c r="E16" s="5" t="n"/>
      <c r="F16" s="5" t="n"/>
      <c r="G16" s="5" t="n"/>
      <c r="H16" s="5" t="n"/>
      <c r="I16" s="5" t="n"/>
      <c r="J16" s="5" t="n"/>
      <c r="K16" s="5" t="n"/>
      <c r="L16" s="5" t="n"/>
    </row>
    <row r="17">
      <c r="A17" t="inlineStr">
        <is>
          <t>Accrued pref, opening</t>
        </is>
      </c>
      <c r="B17" s="6">
        <f>0</f>
        <v/>
      </c>
      <c r="C17" s="6">
        <f>B20</f>
        <v/>
      </c>
      <c r="D17" s="6">
        <f>C20</f>
        <v/>
      </c>
      <c r="E17" s="6">
        <f>D20</f>
        <v/>
      </c>
      <c r="F17" s="6">
        <f>E20</f>
        <v/>
      </c>
      <c r="G17" s="6">
        <f>F20</f>
        <v/>
      </c>
      <c r="H17" s="6">
        <f>G20</f>
        <v/>
      </c>
      <c r="I17" s="6">
        <f>H20</f>
        <v/>
      </c>
      <c r="J17" s="6">
        <f>I20</f>
        <v/>
      </c>
      <c r="K17" s="6">
        <f>J20</f>
        <v/>
      </c>
    </row>
    <row r="18">
      <c r="A18" t="inlineStr">
        <is>
          <t xml:space="preserve">  Pref accrued this year</t>
        </is>
      </c>
      <c r="B18" s="6">
        <f>B10*Assumptions!$B$59</f>
        <v/>
      </c>
      <c r="C18" s="6">
        <f>C10*Assumptions!$B$59</f>
        <v/>
      </c>
      <c r="D18" s="6">
        <f>D10*Assumptions!$B$59</f>
        <v/>
      </c>
      <c r="E18" s="6">
        <f>E10*Assumptions!$B$59</f>
        <v/>
      </c>
      <c r="F18" s="6">
        <f>F10*Assumptions!$B$59</f>
        <v/>
      </c>
      <c r="G18" s="6">
        <f>G10*Assumptions!$B$59</f>
        <v/>
      </c>
      <c r="H18" s="6">
        <f>H10*Assumptions!$B$59</f>
        <v/>
      </c>
      <c r="I18" s="6">
        <f>I10*Assumptions!$B$59</f>
        <v/>
      </c>
      <c r="J18" s="6">
        <f>J10*Assumptions!$B$59</f>
        <v/>
      </c>
      <c r="K18" s="6">
        <f>K10*Assumptions!$B$59</f>
        <v/>
      </c>
      <c r="L18" s="8">
        <f>SUM(B18:K18)</f>
        <v/>
      </c>
    </row>
    <row r="19">
      <c r="A19" t="inlineStr">
        <is>
          <t xml:space="preserve">  Pref paid</t>
        </is>
      </c>
      <c r="B19" s="6">
        <f>MIN(B17+B18,MAX(0,B6-B11))</f>
        <v/>
      </c>
      <c r="C19" s="6">
        <f>MIN(C17+C18,MAX(0,C6-C11))</f>
        <v/>
      </c>
      <c r="D19" s="6">
        <f>MIN(D17+D18,MAX(0,D6-D11))</f>
        <v/>
      </c>
      <c r="E19" s="6">
        <f>MIN(E17+E18,MAX(0,E6-E11))</f>
        <v/>
      </c>
      <c r="F19" s="6">
        <f>MIN(F17+F18,MAX(0,F6-F11))</f>
        <v/>
      </c>
      <c r="G19" s="6">
        <f>MIN(G17+G18,MAX(0,G6-G11))</f>
        <v/>
      </c>
      <c r="H19" s="6">
        <f>MIN(H17+H18,MAX(0,H6-H11))</f>
        <v/>
      </c>
      <c r="I19" s="6">
        <f>MIN(I17+I18,MAX(0,I6-I11))</f>
        <v/>
      </c>
      <c r="J19" s="6">
        <f>MIN(J17+J18,MAX(0,J6-J11))</f>
        <v/>
      </c>
      <c r="K19" s="6">
        <f>MIN(K17+K18,MAX(0,K6-K11))</f>
        <v/>
      </c>
      <c r="L19" s="8">
        <f>SUM(B19:K19)</f>
        <v/>
      </c>
    </row>
    <row r="20">
      <c r="A20" s="17" t="inlineStr">
        <is>
          <t>Accrued pref, closing</t>
        </is>
      </c>
      <c r="B20" s="18">
        <f>B17+B18-B19</f>
        <v/>
      </c>
      <c r="C20" s="18">
        <f>C17+C18-C19</f>
        <v/>
      </c>
      <c r="D20" s="18">
        <f>D17+D18-D19</f>
        <v/>
      </c>
      <c r="E20" s="18">
        <f>E17+E18-E19</f>
        <v/>
      </c>
      <c r="F20" s="18">
        <f>F17+F18-F19</f>
        <v/>
      </c>
      <c r="G20" s="18">
        <f>G17+G18-G19</f>
        <v/>
      </c>
      <c r="H20" s="18">
        <f>H17+H18-H19</f>
        <v/>
      </c>
      <c r="I20" s="18">
        <f>I17+I18-I19</f>
        <v/>
      </c>
      <c r="J20" s="18">
        <f>J17+J18-J19</f>
        <v/>
      </c>
      <c r="K20" s="18">
        <f>K17+K18-K19</f>
        <v/>
      </c>
    </row>
    <row r="21">
      <c r="A21" t="inlineStr">
        <is>
          <t xml:space="preserve">    of which to LP</t>
        </is>
      </c>
      <c r="B21" s="6">
        <f>B19*Assumptions!$B$58</f>
        <v/>
      </c>
      <c r="C21" s="6">
        <f>C19*Assumptions!$B$58</f>
        <v/>
      </c>
      <c r="D21" s="6">
        <f>D19*Assumptions!$B$58</f>
        <v/>
      </c>
      <c r="E21" s="6">
        <f>E19*Assumptions!$B$58</f>
        <v/>
      </c>
      <c r="F21" s="6">
        <f>F19*Assumptions!$B$58</f>
        <v/>
      </c>
      <c r="G21" s="6">
        <f>G19*Assumptions!$B$58</f>
        <v/>
      </c>
      <c r="H21" s="6">
        <f>H19*Assumptions!$B$58</f>
        <v/>
      </c>
      <c r="I21" s="6">
        <f>I19*Assumptions!$B$58</f>
        <v/>
      </c>
      <c r="J21" s="6">
        <f>J19*Assumptions!$B$58</f>
        <v/>
      </c>
      <c r="K21" s="6">
        <f>K19*Assumptions!$B$58</f>
        <v/>
      </c>
      <c r="L21" s="8">
        <f>SUM(B21:K21)</f>
        <v/>
      </c>
    </row>
    <row r="22">
      <c r="A22" t="inlineStr">
        <is>
          <t xml:space="preserve">    of which to GP co-invest</t>
        </is>
      </c>
      <c r="B22" s="6">
        <f>B19*(1-Assumptions!$B$58)</f>
        <v/>
      </c>
      <c r="C22" s="6">
        <f>C19*(1-Assumptions!$B$58)</f>
        <v/>
      </c>
      <c r="D22" s="6">
        <f>D19*(1-Assumptions!$B$58)</f>
        <v/>
      </c>
      <c r="E22" s="6">
        <f>E19*(1-Assumptions!$B$58)</f>
        <v/>
      </c>
      <c r="F22" s="6">
        <f>F19*(1-Assumptions!$B$58)</f>
        <v/>
      </c>
      <c r="G22" s="6">
        <f>G19*(1-Assumptions!$B$58)</f>
        <v/>
      </c>
      <c r="H22" s="6">
        <f>H19*(1-Assumptions!$B$58)</f>
        <v/>
      </c>
      <c r="I22" s="6">
        <f>I19*(1-Assumptions!$B$58)</f>
        <v/>
      </c>
      <c r="J22" s="6">
        <f>J19*(1-Assumptions!$B$58)</f>
        <v/>
      </c>
      <c r="K22" s="6">
        <f>K19*(1-Assumptions!$B$58)</f>
        <v/>
      </c>
      <c r="L22" s="8">
        <f>SUM(B22:K22)</f>
        <v/>
      </c>
    </row>
    <row r="24">
      <c r="A24" s="4" t="inlineStr">
        <is>
          <t>TIERS 3 &amp; 4 — GP CATCH-UP, THEN RESIDUAL SPLIT</t>
        </is>
      </c>
      <c r="B24" s="5" t="n"/>
      <c r="C24" s="5" t="n"/>
      <c r="D24" s="5" t="n"/>
      <c r="E24" s="5" t="n"/>
      <c r="F24" s="5" t="n"/>
      <c r="G24" s="5" t="n"/>
      <c r="H24" s="5" t="n"/>
      <c r="I24" s="5" t="n"/>
      <c r="J24" s="5" t="n"/>
      <c r="K24" s="5" t="n"/>
      <c r="L24" s="5" t="n"/>
    </row>
    <row r="25">
      <c r="A25" t="inlineStr">
        <is>
          <t>GP catch-up to promote</t>
        </is>
      </c>
      <c r="B25" s="6">
        <f>MIN(MAX(0,B6-B11-B19),B19*Assumptions!$B$60/(1-Assumptions!$B$60))</f>
        <v/>
      </c>
      <c r="C25" s="6">
        <f>MIN(MAX(0,C6-C11-C19),C19*Assumptions!$B$60/(1-Assumptions!$B$60))</f>
        <v/>
      </c>
      <c r="D25" s="6">
        <f>MIN(MAX(0,D6-D11-D19),D19*Assumptions!$B$60/(1-Assumptions!$B$60))</f>
        <v/>
      </c>
      <c r="E25" s="6">
        <f>MIN(MAX(0,E6-E11-E19),E19*Assumptions!$B$60/(1-Assumptions!$B$60))</f>
        <v/>
      </c>
      <c r="F25" s="6">
        <f>MIN(MAX(0,F6-F11-F19),F19*Assumptions!$B$60/(1-Assumptions!$B$60))</f>
        <v/>
      </c>
      <c r="G25" s="6">
        <f>MIN(MAX(0,G6-G11-G19),G19*Assumptions!$B$60/(1-Assumptions!$B$60))</f>
        <v/>
      </c>
      <c r="H25" s="6">
        <f>MIN(MAX(0,H6-H11-H19),H19*Assumptions!$B$60/(1-Assumptions!$B$60))</f>
        <v/>
      </c>
      <c r="I25" s="6">
        <f>MIN(MAX(0,I6-I11-I19),I19*Assumptions!$B$60/(1-Assumptions!$B$60))</f>
        <v/>
      </c>
      <c r="J25" s="6">
        <f>MIN(MAX(0,J6-J11-J19),J19*Assumptions!$B$60/(1-Assumptions!$B$60))</f>
        <v/>
      </c>
      <c r="K25" s="6">
        <f>MIN(MAX(0,K6-K11-K19),K19*Assumptions!$B$60/(1-Assumptions!$B$60))</f>
        <v/>
      </c>
      <c r="L25" s="8">
        <f>SUM(B25:K25)</f>
        <v/>
      </c>
    </row>
    <row r="26">
      <c r="A26" s="17" t="inlineStr">
        <is>
          <t>Residual after pref &amp; catch-up</t>
        </is>
      </c>
      <c r="B26" s="18">
        <f>MAX(0,B6-B11-B19)-B25</f>
        <v/>
      </c>
      <c r="C26" s="18">
        <f>MAX(0,C6-C11-C19)-C25</f>
        <v/>
      </c>
      <c r="D26" s="18">
        <f>MAX(0,D6-D11-D19)-D25</f>
        <v/>
      </c>
      <c r="E26" s="18">
        <f>MAX(0,E6-E11-E19)-E25</f>
        <v/>
      </c>
      <c r="F26" s="18">
        <f>MAX(0,F6-F11-F19)-F25</f>
        <v/>
      </c>
      <c r="G26" s="18">
        <f>MAX(0,G6-G11-G19)-G25</f>
        <v/>
      </c>
      <c r="H26" s="18">
        <f>MAX(0,H6-H11-H19)-H25</f>
        <v/>
      </c>
      <c r="I26" s="18">
        <f>MAX(0,I6-I11-I19)-I25</f>
        <v/>
      </c>
      <c r="J26" s="18">
        <f>MAX(0,J6-J11-J19)-J25</f>
        <v/>
      </c>
      <c r="K26" s="18">
        <f>MAX(0,K6-K11-K19)-K25</f>
        <v/>
      </c>
    </row>
    <row r="27">
      <c r="A27" t="inlineStr">
        <is>
          <t xml:space="preserve">  Residual to LP</t>
        </is>
      </c>
      <c r="B27" s="6">
        <f>B26*(1-Assumptions!$B$60)</f>
        <v/>
      </c>
      <c r="C27" s="6">
        <f>C26*(1-Assumptions!$B$60)</f>
        <v/>
      </c>
      <c r="D27" s="6">
        <f>D26*(1-Assumptions!$B$60)</f>
        <v/>
      </c>
      <c r="E27" s="6">
        <f>E26*(1-Assumptions!$B$60)</f>
        <v/>
      </c>
      <c r="F27" s="6">
        <f>F26*(1-Assumptions!$B$60)</f>
        <v/>
      </c>
      <c r="G27" s="6">
        <f>G26*(1-Assumptions!$B$60)</f>
        <v/>
      </c>
      <c r="H27" s="6">
        <f>H26*(1-Assumptions!$B$60)</f>
        <v/>
      </c>
      <c r="I27" s="6">
        <f>I26*(1-Assumptions!$B$60)</f>
        <v/>
      </c>
      <c r="J27" s="6">
        <f>J26*(1-Assumptions!$B$60)</f>
        <v/>
      </c>
      <c r="K27" s="6">
        <f>K26*(1-Assumptions!$B$60)</f>
        <v/>
      </c>
      <c r="L27" s="8">
        <f>SUM(B27:K27)</f>
        <v/>
      </c>
    </row>
    <row r="28">
      <c r="A28" t="inlineStr">
        <is>
          <t xml:space="preserve">  Residual to GP (promote)</t>
        </is>
      </c>
      <c r="B28" s="6">
        <f>B26*Assumptions!$B$60</f>
        <v/>
      </c>
      <c r="C28" s="6">
        <f>C26*Assumptions!$B$60</f>
        <v/>
      </c>
      <c r="D28" s="6">
        <f>D26*Assumptions!$B$60</f>
        <v/>
      </c>
      <c r="E28" s="6">
        <f>E26*Assumptions!$B$60</f>
        <v/>
      </c>
      <c r="F28" s="6">
        <f>F26*Assumptions!$B$60</f>
        <v/>
      </c>
      <c r="G28" s="6">
        <f>G26*Assumptions!$B$60</f>
        <v/>
      </c>
      <c r="H28" s="6">
        <f>H26*Assumptions!$B$60</f>
        <v/>
      </c>
      <c r="I28" s="6">
        <f>I26*Assumptions!$B$60</f>
        <v/>
      </c>
      <c r="J28" s="6">
        <f>J26*Assumptions!$B$60</f>
        <v/>
      </c>
      <c r="K28" s="6">
        <f>K26*Assumptions!$B$60</f>
        <v/>
      </c>
      <c r="L28" s="8">
        <f>SUM(B28:K28)</f>
        <v/>
      </c>
    </row>
    <row r="30">
      <c r="A30" s="4" t="inlineStr">
        <is>
          <t>TOTAL DISTRIBUTIONS</t>
        </is>
      </c>
      <c r="B30" s="5" t="n"/>
      <c r="C30" s="5" t="n"/>
      <c r="D30" s="5" t="n"/>
      <c r="E30" s="5" t="n"/>
      <c r="F30" s="5" t="n"/>
      <c r="G30" s="5" t="n"/>
      <c r="H30" s="5" t="n"/>
      <c r="I30" s="5" t="n"/>
      <c r="J30" s="5" t="n"/>
      <c r="K30" s="5" t="n"/>
      <c r="L30" s="5" t="n"/>
    </row>
    <row r="31">
      <c r="A31" s="17" t="inlineStr">
        <is>
          <t>TOTAL TO LP</t>
        </is>
      </c>
      <c r="B31" s="18">
        <f>B13+B21+B27</f>
        <v/>
      </c>
      <c r="C31" s="18">
        <f>C13+C21+C27</f>
        <v/>
      </c>
      <c r="D31" s="18">
        <f>D13+D21+D27</f>
        <v/>
      </c>
      <c r="E31" s="18">
        <f>E13+E21+E27</f>
        <v/>
      </c>
      <c r="F31" s="18">
        <f>F13+F21+F27</f>
        <v/>
      </c>
      <c r="G31" s="18">
        <f>G13+G21+G27</f>
        <v/>
      </c>
      <c r="H31" s="18">
        <f>H13+H21+H27</f>
        <v/>
      </c>
      <c r="I31" s="18">
        <f>I13+I21+I27</f>
        <v/>
      </c>
      <c r="J31" s="18">
        <f>J13+J21+J27</f>
        <v/>
      </c>
      <c r="K31" s="18">
        <f>K13+K21+K27</f>
        <v/>
      </c>
      <c r="L31" s="8">
        <f>SUM(B31:K31)</f>
        <v/>
      </c>
    </row>
    <row r="32">
      <c r="A32" s="17" t="inlineStr">
        <is>
          <t>TOTAL TO GP</t>
        </is>
      </c>
      <c r="B32" s="18">
        <f>B14+B22+B25+B28</f>
        <v/>
      </c>
      <c r="C32" s="18">
        <f>C14+C22+C25+C28</f>
        <v/>
      </c>
      <c r="D32" s="18">
        <f>D14+D22+D25+D28</f>
        <v/>
      </c>
      <c r="E32" s="18">
        <f>E14+E22+E25+E28</f>
        <v/>
      </c>
      <c r="F32" s="18">
        <f>F14+F22+F25+F28</f>
        <v/>
      </c>
      <c r="G32" s="18">
        <f>G14+G22+G25+G28</f>
        <v/>
      </c>
      <c r="H32" s="18">
        <f>H14+H22+H25+H28</f>
        <v/>
      </c>
      <c r="I32" s="18">
        <f>I14+I22+I25+I28</f>
        <v/>
      </c>
      <c r="J32" s="18">
        <f>J14+J22+J25+J28</f>
        <v/>
      </c>
      <c r="K32" s="18">
        <f>K14+K22+K25+K28</f>
        <v/>
      </c>
      <c r="L32" s="8">
        <f>SUM(B32:K32)</f>
        <v/>
      </c>
    </row>
    <row r="33">
      <c r="A33" t="inlineStr">
        <is>
          <t>Check: LP + GP less distributable</t>
        </is>
      </c>
      <c r="B33" s="6">
        <f>B31+B32-B6</f>
        <v/>
      </c>
      <c r="C33" s="6">
        <f>C31+C32-C6</f>
        <v/>
      </c>
      <c r="D33" s="6">
        <f>D31+D32-D6</f>
        <v/>
      </c>
      <c r="E33" s="6">
        <f>E31+E32-E6</f>
        <v/>
      </c>
      <c r="F33" s="6">
        <f>F31+F32-F6</f>
        <v/>
      </c>
      <c r="G33" s="6">
        <f>G31+G32-G6</f>
        <v/>
      </c>
      <c r="H33" s="6">
        <f>H31+H32-H6</f>
        <v/>
      </c>
      <c r="I33" s="6">
        <f>I31+I32-I6</f>
        <v/>
      </c>
      <c r="J33" s="6">
        <f>J31+J32-J6</f>
        <v/>
      </c>
      <c r="K33" s="6">
        <f>K31+K32-K6</f>
        <v/>
      </c>
      <c r="L33" s="8">
        <f>SUM(B33:K33)</f>
        <v/>
      </c>
    </row>
    <row r="35">
      <c r="A35" s="7" t="inlineStr">
        <is>
          <t>Total to LP</t>
        </is>
      </c>
      <c r="B35" s="8">
        <f>L31</f>
        <v/>
      </c>
    </row>
    <row r="36">
      <c r="A36" s="7" t="inlineStr">
        <is>
          <t>Total to GP</t>
        </is>
      </c>
      <c r="B36" s="8">
        <f>L32</f>
        <v/>
      </c>
    </row>
    <row r="37">
      <c r="A37" t="inlineStr">
        <is>
          <t>GP share of distributions</t>
        </is>
      </c>
      <c r="B37" s="9">
        <f>IF(L6=0,0,L32/L6)</f>
        <v/>
      </c>
    </row>
    <row r="39">
      <c r="A39" s="3" t="inlineStr">
        <is>
          <t>WHY THIS TAB MAY NOT APPLY: an FPP wholesale assignment is a single-party transaction — the operator contracts and assigns, with no LP capital and therefore no promote. This tab exists for institutional or multi-investor deals and so the model is complete when one arises. For a solo assignment read the Wholesale tab.</t>
        </is>
      </c>
    </row>
  </sheetData>
  <printOptions horizontalCentered="1"/>
  <pageMargins left="0.75" right="0.75" top="1" bottom="1" header="0.5" footer="0.5"/>
  <pageSetup orientation="landscape" fitToHeight="0" fitToWidth="1"/>
  <headerFooter>
    <oddHeader>&amp;L1813 Linden Ave, Memphis, TN 38104&amp;RField Property Partners</oddHeader>
    <oddFooter>&amp;L&amp;A&amp;RPage &amp;P of &amp;N</oddFooter>
    <evenHeader/>
    <evenFooter/>
    <firstHeader/>
    <firstFooter/>
  </headerFooter>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2026-07-30T05:52:12Z</dcterms:created>
  <dcterms:modified xsi:type="dcterms:W3CDTF">2026-07-30T05:52:12Z</dcterms:modified>
</cp:coreProperties>
</file>